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10" windowWidth="20490" windowHeight="7935"/>
  </bookViews>
  <sheets>
    <sheet name="Predict Your Data" sheetId="14" r:id="rId1"/>
    <sheet name="Data Analysis" sheetId="1" r:id="rId2"/>
    <sheet name="Sheet5" sheetId="17" state="hidden" r:id="rId3"/>
    <sheet name="15yr, by $watt" sheetId="4" state="hidden" r:id="rId4"/>
    <sheet name="yrpayback, by $watt" sheetId="5" state="hidden" r:id="rId5"/>
    <sheet name="15yr w0, by watt" sheetId="6" state="hidden" r:id="rId6"/>
    <sheet name="Sheet2" sheetId="2" state="hidden" r:id="rId7"/>
    <sheet name="Sheet3" sheetId="3" state="hidden" r:id="rId8"/>
    <sheet name="kkk" sheetId="8" state="hidden" r:id="rId9"/>
    <sheet name="Calc of Avg Eff" sheetId="7" state="hidden" r:id="rId10"/>
    <sheet name="Cost Data" sheetId="9" state="hidden" r:id="rId11"/>
    <sheet name="ROI by $watt Analysis" sheetId="10" state="hidden" r:id="rId12"/>
    <sheet name="ROI by Real Output" sheetId="11" state="hidden" r:id="rId13"/>
    <sheet name="Everything" sheetId="12" state="hidden" r:id="rId14"/>
    <sheet name="Sheet7" sheetId="13" state="hidden" r:id="rId15"/>
    <sheet name="Sheet1" sheetId="15" state="hidden" r:id="rId16"/>
    <sheet name="All Other Sheets are Hidden" sheetId="18" r:id="rId17"/>
  </sheets>
  <definedNames>
    <definedName name="_xlnm.Print_Area" localSheetId="1">'Data Analysis'!$C$6:$O$6,'Data Analysis'!$C$68:$O$75,'Data Analysis'!$AB$6:$AF$6,'Data Analysis'!$AB$68:$AF$75</definedName>
    <definedName name="_xlnm.Print_Area" localSheetId="0">'Predict Your Data'!$A$1:$J$19</definedName>
  </definedNames>
  <calcPr calcId="145621"/>
</workbook>
</file>

<file path=xl/calcChain.xml><?xml version="1.0" encoding="utf-8"?>
<calcChain xmlns="http://schemas.openxmlformats.org/spreadsheetml/2006/main">
  <c r="D3" i="1" l="1"/>
  <c r="D2" i="1"/>
  <c r="H72" i="1"/>
  <c r="G11" i="14"/>
  <c r="H76" i="1" l="1"/>
  <c r="I76" i="1" s="1"/>
  <c r="G76" i="1"/>
  <c r="L76" i="1"/>
  <c r="AG76" i="1"/>
  <c r="O30" i="7"/>
  <c r="J7" i="1"/>
  <c r="M7" i="1" s="1"/>
  <c r="N7" i="1" s="1"/>
  <c r="AG7" i="1"/>
  <c r="I10" i="1"/>
  <c r="J9" i="1"/>
  <c r="J76" i="1" l="1"/>
  <c r="M76" i="1" s="1"/>
  <c r="N76" i="1" s="1"/>
  <c r="Y76" i="1" s="1"/>
  <c r="I8" i="1"/>
  <c r="Z76" i="1" l="1"/>
  <c r="X76" i="1"/>
  <c r="AA76" i="1"/>
  <c r="AC76" i="1"/>
  <c r="P76" i="1"/>
  <c r="Q76" i="1" s="1"/>
  <c r="R76" i="1" s="1"/>
  <c r="W76" i="1"/>
  <c r="AF76" i="1"/>
  <c r="AD76" i="1"/>
  <c r="O76" i="1"/>
  <c r="AB76" i="1"/>
  <c r="AE76" i="1"/>
  <c r="I11" i="14"/>
  <c r="F11" i="14"/>
  <c r="H11" i="14"/>
  <c r="E11" i="14"/>
  <c r="B4" i="14"/>
  <c r="C4" i="14"/>
  <c r="F4" i="14"/>
  <c r="I4" i="14"/>
  <c r="J4" i="14"/>
  <c r="B5" i="14"/>
  <c r="C5" i="14"/>
  <c r="F5" i="14"/>
  <c r="I5" i="14"/>
  <c r="J5" i="14"/>
  <c r="B6" i="14"/>
  <c r="C6" i="14"/>
  <c r="D6" i="14"/>
  <c r="F6" i="14"/>
  <c r="I6" i="14"/>
  <c r="J6" i="14"/>
  <c r="B7" i="14"/>
  <c r="C7" i="14"/>
  <c r="I7" i="14"/>
  <c r="J7" i="14"/>
  <c r="B8" i="14"/>
  <c r="C8" i="14"/>
  <c r="F8" i="14"/>
  <c r="I8" i="14"/>
  <c r="J8" i="14"/>
  <c r="B9" i="14"/>
  <c r="C9" i="14"/>
  <c r="F9" i="14"/>
  <c r="I9" i="14"/>
  <c r="J9" i="14"/>
  <c r="B10" i="14"/>
  <c r="C10" i="14"/>
  <c r="F10" i="14"/>
  <c r="I10" i="14"/>
  <c r="J10" i="14"/>
  <c r="C3" i="14"/>
  <c r="I3" i="14"/>
  <c r="J3" i="14"/>
  <c r="B3" i="14"/>
  <c r="C2" i="14"/>
  <c r="D2" i="14"/>
  <c r="E2" i="14"/>
  <c r="F2" i="14"/>
  <c r="G2" i="14"/>
  <c r="H2" i="14"/>
  <c r="I2" i="14"/>
  <c r="J2" i="14"/>
  <c r="B11" i="14"/>
  <c r="C11" i="14"/>
  <c r="D11" i="14"/>
  <c r="B2" i="14"/>
  <c r="H68" i="1"/>
  <c r="I68" i="1" s="1"/>
  <c r="G3" i="14" s="1"/>
  <c r="F68" i="1"/>
  <c r="AG68" i="1" s="1"/>
  <c r="H69" i="1"/>
  <c r="F69" i="1"/>
  <c r="AG69" i="1" s="1"/>
  <c r="G68" i="1"/>
  <c r="E3" i="14" s="1"/>
  <c r="L68" i="1"/>
  <c r="G69" i="1"/>
  <c r="E4" i="14" s="1"/>
  <c r="I69" i="1"/>
  <c r="G4" i="14" s="1"/>
  <c r="L69" i="1"/>
  <c r="H70" i="1"/>
  <c r="I70" i="1" s="1"/>
  <c r="G5" i="14" s="1"/>
  <c r="F70" i="1"/>
  <c r="AG70" i="1" s="1"/>
  <c r="F72" i="1"/>
  <c r="G72" i="1"/>
  <c r="E7" i="14" s="1"/>
  <c r="L72" i="1"/>
  <c r="F73" i="1"/>
  <c r="D8" i="14" s="1"/>
  <c r="G73" i="1"/>
  <c r="E8" i="14" s="1"/>
  <c r="H73" i="1"/>
  <c r="I73" i="1" s="1"/>
  <c r="G8" i="14" s="1"/>
  <c r="L73" i="1"/>
  <c r="F74" i="1"/>
  <c r="D9" i="14" s="1"/>
  <c r="G74" i="1"/>
  <c r="E9" i="14" s="1"/>
  <c r="H74" i="1"/>
  <c r="I74" i="1" s="1"/>
  <c r="G9" i="14" s="1"/>
  <c r="L74" i="1"/>
  <c r="F75" i="1"/>
  <c r="AG75" i="1" s="1"/>
  <c r="G75" i="1"/>
  <c r="E10" i="14" s="1"/>
  <c r="H75" i="1"/>
  <c r="I75" i="1" s="1"/>
  <c r="G10" i="14" s="1"/>
  <c r="L75" i="1"/>
  <c r="G70" i="1"/>
  <c r="E5" i="14" s="1"/>
  <c r="L70" i="1"/>
  <c r="M9" i="13"/>
  <c r="M5" i="13"/>
  <c r="M6" i="13"/>
  <c r="M7" i="13"/>
  <c r="M8" i="13"/>
  <c r="M4" i="13"/>
  <c r="H71" i="1"/>
  <c r="L71" i="1"/>
  <c r="E71" i="1"/>
  <c r="G71" i="1" s="1"/>
  <c r="E6" i="14" s="1"/>
  <c r="F71" i="1"/>
  <c r="C71" i="1"/>
  <c r="AG74" i="1"/>
  <c r="I7" i="1"/>
  <c r="I9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AG73" i="1"/>
  <c r="L7" i="1"/>
  <c r="K47" i="10"/>
  <c r="K48" i="10"/>
  <c r="K49" i="10"/>
  <c r="K50" i="10"/>
  <c r="K51" i="10"/>
  <c r="J47" i="10"/>
  <c r="J48" i="10"/>
  <c r="J49" i="10"/>
  <c r="J50" i="10"/>
  <c r="J51" i="10"/>
  <c r="C47" i="10"/>
  <c r="C48" i="10"/>
  <c r="C49" i="10"/>
  <c r="C50" i="10"/>
  <c r="C51" i="10"/>
  <c r="H47" i="10"/>
  <c r="H48" i="10"/>
  <c r="H49" i="10"/>
  <c r="H50" i="10"/>
  <c r="H51" i="10"/>
  <c r="F47" i="10"/>
  <c r="F48" i="10"/>
  <c r="F49" i="10"/>
  <c r="F50" i="10"/>
  <c r="F51" i="10"/>
  <c r="D47" i="10"/>
  <c r="D48" i="10"/>
  <c r="D49" i="10"/>
  <c r="D50" i="10"/>
  <c r="D51" i="10"/>
  <c r="K44" i="10"/>
  <c r="J44" i="10"/>
  <c r="H44" i="10"/>
  <c r="H45" i="10"/>
  <c r="H46" i="10"/>
  <c r="H43" i="10"/>
  <c r="F43" i="10"/>
  <c r="F44" i="10"/>
  <c r="C44" i="10" s="1"/>
  <c r="F45" i="10"/>
  <c r="F46" i="10"/>
  <c r="F42" i="10"/>
  <c r="D43" i="10"/>
  <c r="D44" i="10"/>
  <c r="D45" i="10"/>
  <c r="D46" i="10"/>
  <c r="D42" i="10"/>
  <c r="C46" i="10"/>
  <c r="K46" i="10" s="1"/>
  <c r="C43" i="10"/>
  <c r="K43" i="10" s="1"/>
  <c r="S76" i="1" l="1"/>
  <c r="T76" i="1"/>
  <c r="U76" i="1"/>
  <c r="V76" i="1"/>
  <c r="D3" i="14"/>
  <c r="F3" i="14"/>
  <c r="D10" i="14"/>
  <c r="D7" i="14"/>
  <c r="D5" i="14"/>
  <c r="D4" i="14"/>
  <c r="J68" i="1"/>
  <c r="J69" i="1"/>
  <c r="AG72" i="1"/>
  <c r="I71" i="1"/>
  <c r="G6" i="14" s="1"/>
  <c r="J73" i="1"/>
  <c r="AG71" i="1"/>
  <c r="J75" i="1"/>
  <c r="J70" i="1"/>
  <c r="M70" i="1" s="1"/>
  <c r="J74" i="1"/>
  <c r="J71" i="1"/>
  <c r="J46" i="10"/>
  <c r="J43" i="10"/>
  <c r="C45" i="10"/>
  <c r="G7" i="1"/>
  <c r="N30" i="7"/>
  <c r="J8" i="1"/>
  <c r="M69" i="1" l="1"/>
  <c r="H4" i="14"/>
  <c r="M73" i="1"/>
  <c r="H8" i="14"/>
  <c r="M68" i="1"/>
  <c r="N68" i="1" s="1"/>
  <c r="H3" i="14"/>
  <c r="M71" i="1"/>
  <c r="N71" i="1" s="1"/>
  <c r="H6" i="14"/>
  <c r="H5" i="14"/>
  <c r="M74" i="1"/>
  <c r="H9" i="14"/>
  <c r="M75" i="1"/>
  <c r="H10" i="14"/>
  <c r="K45" i="10"/>
  <c r="J45" i="10"/>
  <c r="L40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N75" i="1" l="1"/>
  <c r="B19" i="14"/>
  <c r="N70" i="1"/>
  <c r="B14" i="14"/>
  <c r="B12" i="14"/>
  <c r="N69" i="1"/>
  <c r="B13" i="14"/>
  <c r="N74" i="1"/>
  <c r="B18" i="14"/>
  <c r="B15" i="14"/>
  <c r="N73" i="1"/>
  <c r="B17" i="14"/>
  <c r="AG77" i="1"/>
  <c r="J40" i="1"/>
  <c r="J41" i="1"/>
  <c r="O71" i="1" l="1"/>
  <c r="D15" i="14" s="1"/>
  <c r="C15" i="14"/>
  <c r="AF71" i="1"/>
  <c r="I15" i="14" s="1"/>
  <c r="Z71" i="1"/>
  <c r="AA71" i="1"/>
  <c r="AD71" i="1"/>
  <c r="G15" i="14" s="1"/>
  <c r="P71" i="1"/>
  <c r="Q71" i="1" s="1"/>
  <c r="W71" i="1"/>
  <c r="X71" i="1"/>
  <c r="AB71" i="1"/>
  <c r="E15" i="14" s="1"/>
  <c r="Y71" i="1"/>
  <c r="AC71" i="1"/>
  <c r="F15" i="14" s="1"/>
  <c r="AE71" i="1"/>
  <c r="H15" i="14" s="1"/>
  <c r="W69" i="1"/>
  <c r="C13" i="14"/>
  <c r="AE69" i="1"/>
  <c r="H13" i="14" s="1"/>
  <c r="O69" i="1"/>
  <c r="D13" i="14" s="1"/>
  <c r="AC69" i="1"/>
  <c r="F13" i="14" s="1"/>
  <c r="AD69" i="1"/>
  <c r="G13" i="14" s="1"/>
  <c r="AB69" i="1"/>
  <c r="E13" i="14" s="1"/>
  <c r="X69" i="1"/>
  <c r="Y69" i="1"/>
  <c r="AA69" i="1"/>
  <c r="AF69" i="1"/>
  <c r="I13" i="14" s="1"/>
  <c r="P69" i="1"/>
  <c r="Q69" i="1" s="1"/>
  <c r="Z69" i="1"/>
  <c r="Y70" i="1"/>
  <c r="C14" i="14"/>
  <c r="AE70" i="1"/>
  <c r="H14" i="14" s="1"/>
  <c r="AD70" i="1"/>
  <c r="G14" i="14" s="1"/>
  <c r="AF70" i="1"/>
  <c r="I14" i="14" s="1"/>
  <c r="X70" i="1"/>
  <c r="AC70" i="1"/>
  <c r="F14" i="14" s="1"/>
  <c r="W70" i="1"/>
  <c r="O70" i="1"/>
  <c r="D14" i="14" s="1"/>
  <c r="P70" i="1"/>
  <c r="Q70" i="1" s="1"/>
  <c r="AA70" i="1"/>
  <c r="AB70" i="1"/>
  <c r="E14" i="14" s="1"/>
  <c r="Z70" i="1"/>
  <c r="P73" i="1"/>
  <c r="Q73" i="1" s="1"/>
  <c r="C17" i="14"/>
  <c r="O73" i="1"/>
  <c r="D17" i="14" s="1"/>
  <c r="P74" i="1"/>
  <c r="Q74" i="1" s="1"/>
  <c r="C18" i="14"/>
  <c r="O74" i="1"/>
  <c r="D18" i="14" s="1"/>
  <c r="AD68" i="1"/>
  <c r="G12" i="14" s="1"/>
  <c r="C12" i="14"/>
  <c r="Y68" i="1"/>
  <c r="AE68" i="1"/>
  <c r="H12" i="14" s="1"/>
  <c r="O68" i="1"/>
  <c r="D12" i="14" s="1"/>
  <c r="P68" i="1"/>
  <c r="Q68" i="1" s="1"/>
  <c r="AA68" i="1"/>
  <c r="AC68" i="1"/>
  <c r="F12" i="14" s="1"/>
  <c r="Z68" i="1"/>
  <c r="AB68" i="1"/>
  <c r="E12" i="14" s="1"/>
  <c r="X68" i="1"/>
  <c r="AF68" i="1"/>
  <c r="I12" i="14" s="1"/>
  <c r="W68" i="1"/>
  <c r="P75" i="1"/>
  <c r="Q75" i="1" s="1"/>
  <c r="C19" i="14"/>
  <c r="O75" i="1"/>
  <c r="D19" i="14" s="1"/>
  <c r="C22" i="5"/>
  <c r="U70" i="1" l="1"/>
  <c r="R70" i="1"/>
  <c r="V70" i="1"/>
  <c r="T70" i="1"/>
  <c r="S70" i="1"/>
  <c r="U68" i="1"/>
  <c r="R68" i="1"/>
  <c r="T68" i="1"/>
  <c r="S68" i="1"/>
  <c r="V68" i="1"/>
  <c r="R71" i="1"/>
  <c r="U71" i="1"/>
  <c r="S71" i="1"/>
  <c r="V71" i="1"/>
  <c r="T71" i="1"/>
  <c r="V69" i="1"/>
  <c r="R69" i="1"/>
  <c r="U69" i="1"/>
  <c r="T69" i="1"/>
  <c r="S69" i="1"/>
  <c r="F77" i="1"/>
  <c r="E77" i="1"/>
  <c r="F13" i="3"/>
  <c r="E17" i="3"/>
  <c r="F9" i="3"/>
  <c r="F7" i="3"/>
  <c r="I12" i="3"/>
  <c r="E15" i="3"/>
  <c r="E16" i="3" s="1"/>
  <c r="F16" i="3" s="1"/>
  <c r="E8" i="3"/>
  <c r="E9" i="3" s="1"/>
  <c r="E7" i="3"/>
  <c r="E6" i="3"/>
  <c r="I3" i="3"/>
  <c r="E18" i="3" l="1"/>
  <c r="F18" i="3" s="1"/>
  <c r="C77" i="1"/>
  <c r="D77" i="1"/>
  <c r="K77" i="1"/>
  <c r="G40" i="1"/>
  <c r="G17" i="1" l="1"/>
  <c r="J17" i="1"/>
  <c r="L17" i="1"/>
  <c r="G22" i="1"/>
  <c r="J22" i="1"/>
  <c r="L22" i="1"/>
  <c r="G52" i="1"/>
  <c r="J52" i="1"/>
  <c r="L52" i="1"/>
  <c r="G9" i="1"/>
  <c r="L9" i="1"/>
  <c r="G13" i="1"/>
  <c r="J13" i="1"/>
  <c r="L13" i="1"/>
  <c r="G20" i="1"/>
  <c r="J20" i="1"/>
  <c r="L20" i="1"/>
  <c r="G25" i="1"/>
  <c r="J25" i="1"/>
  <c r="L25" i="1"/>
  <c r="G30" i="1"/>
  <c r="J30" i="1"/>
  <c r="L30" i="1"/>
  <c r="G33" i="1"/>
  <c r="J33" i="1"/>
  <c r="L33" i="1"/>
  <c r="G36" i="1"/>
  <c r="J36" i="1"/>
  <c r="L36" i="1"/>
  <c r="G42" i="1"/>
  <c r="J42" i="1"/>
  <c r="L42" i="1"/>
  <c r="G48" i="1"/>
  <c r="J48" i="1"/>
  <c r="L48" i="1"/>
  <c r="G58" i="1"/>
  <c r="J58" i="1"/>
  <c r="L58" i="1"/>
  <c r="G10" i="1"/>
  <c r="J10" i="1"/>
  <c r="L10" i="1"/>
  <c r="G14" i="1"/>
  <c r="J14" i="1"/>
  <c r="L14" i="1"/>
  <c r="G24" i="1"/>
  <c r="J24" i="1"/>
  <c r="L24" i="1"/>
  <c r="G27" i="1"/>
  <c r="J27" i="1"/>
  <c r="L27" i="1"/>
  <c r="G32" i="1"/>
  <c r="J32" i="1"/>
  <c r="L32" i="1"/>
  <c r="G34" i="1"/>
  <c r="J34" i="1"/>
  <c r="L34" i="1"/>
  <c r="G45" i="1"/>
  <c r="J45" i="1"/>
  <c r="L45" i="1"/>
  <c r="G47" i="1"/>
  <c r="J47" i="1"/>
  <c r="L47" i="1"/>
  <c r="G57" i="1"/>
  <c r="J57" i="1"/>
  <c r="L57" i="1"/>
  <c r="G11" i="1"/>
  <c r="J11" i="1"/>
  <c r="L11" i="1"/>
  <c r="G16" i="1"/>
  <c r="J16" i="1"/>
  <c r="L16" i="1"/>
  <c r="G23" i="1"/>
  <c r="J23" i="1"/>
  <c r="L23" i="1"/>
  <c r="G26" i="1"/>
  <c r="J26" i="1"/>
  <c r="L26" i="1"/>
  <c r="G31" i="1"/>
  <c r="J31" i="1"/>
  <c r="L31" i="1"/>
  <c r="G35" i="1"/>
  <c r="J35" i="1"/>
  <c r="L35" i="1"/>
  <c r="G39" i="1"/>
  <c r="J39" i="1"/>
  <c r="L39" i="1"/>
  <c r="G46" i="1"/>
  <c r="J46" i="1"/>
  <c r="L46" i="1"/>
  <c r="G55" i="1"/>
  <c r="J55" i="1"/>
  <c r="L55" i="1"/>
  <c r="G15" i="1"/>
  <c r="J15" i="1"/>
  <c r="L15" i="1"/>
  <c r="G21" i="1"/>
  <c r="J21" i="1"/>
  <c r="L21" i="1"/>
  <c r="G38" i="1"/>
  <c r="J38" i="1"/>
  <c r="L38" i="1"/>
  <c r="G44" i="1"/>
  <c r="J44" i="1"/>
  <c r="L44" i="1"/>
  <c r="G51" i="1"/>
  <c r="J51" i="1"/>
  <c r="L51" i="1"/>
  <c r="G56" i="1"/>
  <c r="J56" i="1"/>
  <c r="L56" i="1"/>
  <c r="G61" i="1"/>
  <c r="J61" i="1"/>
  <c r="L61" i="1"/>
  <c r="G8" i="1"/>
  <c r="L8" i="1"/>
  <c r="G12" i="1"/>
  <c r="J12" i="1"/>
  <c r="L12" i="1"/>
  <c r="G18" i="1"/>
  <c r="J18" i="1"/>
  <c r="L18" i="1"/>
  <c r="G29" i="1"/>
  <c r="J29" i="1"/>
  <c r="L29" i="1"/>
  <c r="G41" i="1"/>
  <c r="L41" i="1"/>
  <c r="G49" i="1"/>
  <c r="J49" i="1"/>
  <c r="L49" i="1"/>
  <c r="G53" i="1"/>
  <c r="J53" i="1"/>
  <c r="L53" i="1"/>
  <c r="G59" i="1"/>
  <c r="J59" i="1"/>
  <c r="L59" i="1"/>
  <c r="G62" i="1"/>
  <c r="J62" i="1"/>
  <c r="L62" i="1"/>
  <c r="G19" i="1"/>
  <c r="J19" i="1"/>
  <c r="L19" i="1"/>
  <c r="G28" i="1"/>
  <c r="J28" i="1"/>
  <c r="L28" i="1"/>
  <c r="G43" i="1"/>
  <c r="J43" i="1"/>
  <c r="L43" i="1"/>
  <c r="G50" i="1"/>
  <c r="J50" i="1"/>
  <c r="L50" i="1"/>
  <c r="G54" i="1"/>
  <c r="J54" i="1"/>
  <c r="L54" i="1"/>
  <c r="G60" i="1"/>
  <c r="J60" i="1"/>
  <c r="L60" i="1"/>
  <c r="G63" i="1"/>
  <c r="J63" i="1"/>
  <c r="L63" i="1"/>
  <c r="G65" i="1"/>
  <c r="J65" i="1"/>
  <c r="L65" i="1"/>
  <c r="G66" i="1"/>
  <c r="J66" i="1"/>
  <c r="L66" i="1"/>
  <c r="G67" i="1"/>
  <c r="J67" i="1"/>
  <c r="L67" i="1"/>
  <c r="J37" i="1"/>
  <c r="J64" i="1"/>
  <c r="G37" i="1"/>
  <c r="G64" i="1"/>
  <c r="L64" i="1"/>
  <c r="L37" i="1"/>
  <c r="B10" i="1"/>
  <c r="M13" i="1" l="1"/>
  <c r="N13" i="1" s="1"/>
  <c r="AF13" i="1" s="1"/>
  <c r="M40" i="1"/>
  <c r="N40" i="1" s="1"/>
  <c r="AF40" i="1" s="1"/>
  <c r="M28" i="1"/>
  <c r="N28" i="1" s="1"/>
  <c r="AF28" i="1" s="1"/>
  <c r="G77" i="1"/>
  <c r="L77" i="1"/>
  <c r="M19" i="1"/>
  <c r="N19" i="1" s="1"/>
  <c r="AF19" i="1" s="1"/>
  <c r="M12" i="1"/>
  <c r="N12" i="1" s="1"/>
  <c r="AF12" i="1" s="1"/>
  <c r="M15" i="1"/>
  <c r="N15" i="1" s="1"/>
  <c r="AF15" i="1" s="1"/>
  <c r="M17" i="1"/>
  <c r="N17" i="1" s="1"/>
  <c r="AF17" i="1" s="1"/>
  <c r="M53" i="1"/>
  <c r="N53" i="1" s="1"/>
  <c r="AF53" i="1" s="1"/>
  <c r="M16" i="1"/>
  <c r="N16" i="1" s="1"/>
  <c r="AF16" i="1" s="1"/>
  <c r="M27" i="1"/>
  <c r="N27" i="1" s="1"/>
  <c r="AF27" i="1" s="1"/>
  <c r="M33" i="1"/>
  <c r="N33" i="1" s="1"/>
  <c r="AF33" i="1" s="1"/>
  <c r="M56" i="1"/>
  <c r="N56" i="1" s="1"/>
  <c r="AF56" i="1" s="1"/>
  <c r="M39" i="1"/>
  <c r="N39" i="1" s="1"/>
  <c r="AF39" i="1" s="1"/>
  <c r="M57" i="1"/>
  <c r="N57" i="1" s="1"/>
  <c r="AF57" i="1" s="1"/>
  <c r="M10" i="1"/>
  <c r="N10" i="1" s="1"/>
  <c r="AF10" i="1" s="1"/>
  <c r="M20" i="1"/>
  <c r="N20" i="1" s="1"/>
  <c r="AF20" i="1" s="1"/>
  <c r="M43" i="1"/>
  <c r="N43" i="1" s="1"/>
  <c r="AF43" i="1" s="1"/>
  <c r="M29" i="1"/>
  <c r="N29" i="1" s="1"/>
  <c r="AF29" i="1" s="1"/>
  <c r="M38" i="1"/>
  <c r="N38" i="1" s="1"/>
  <c r="AF38" i="1" s="1"/>
  <c r="M26" i="1"/>
  <c r="N26" i="1" s="1"/>
  <c r="AF26" i="1" s="1"/>
  <c r="M34" i="1"/>
  <c r="N34" i="1" s="1"/>
  <c r="AF34" i="1" s="1"/>
  <c r="M42" i="1"/>
  <c r="N42" i="1" s="1"/>
  <c r="AF42" i="1" s="1"/>
  <c r="M52" i="1"/>
  <c r="N52" i="1" s="1"/>
  <c r="AF52" i="1" s="1"/>
  <c r="M37" i="1"/>
  <c r="M65" i="1"/>
  <c r="N65" i="1" s="1"/>
  <c r="AF65" i="1" s="1"/>
  <c r="M62" i="1"/>
  <c r="N62" i="1" s="1"/>
  <c r="AF62" i="1" s="1"/>
  <c r="M50" i="1"/>
  <c r="N50" i="1" s="1"/>
  <c r="AF50" i="1" s="1"/>
  <c r="M41" i="1"/>
  <c r="N41" i="1" s="1"/>
  <c r="AF41" i="1" s="1"/>
  <c r="M44" i="1"/>
  <c r="N44" i="1" s="1"/>
  <c r="AF44" i="1" s="1"/>
  <c r="M31" i="1"/>
  <c r="N31" i="1" s="1"/>
  <c r="AF31" i="1" s="1"/>
  <c r="M45" i="1"/>
  <c r="N45" i="1" s="1"/>
  <c r="AF45" i="1" s="1"/>
  <c r="M48" i="1"/>
  <c r="N48" i="1" s="1"/>
  <c r="AF48" i="1" s="1"/>
  <c r="M9" i="1"/>
  <c r="N9" i="1" s="1"/>
  <c r="AF9" i="1" s="1"/>
  <c r="M59" i="1"/>
  <c r="N59" i="1" s="1"/>
  <c r="AF59" i="1" s="1"/>
  <c r="M61" i="1"/>
  <c r="N61" i="1" s="1"/>
  <c r="AF61" i="1" s="1"/>
  <c r="M46" i="1"/>
  <c r="N46" i="1" s="1"/>
  <c r="AF46" i="1" s="1"/>
  <c r="M14" i="1"/>
  <c r="N14" i="1" s="1"/>
  <c r="AF14" i="1" s="1"/>
  <c r="M25" i="1"/>
  <c r="N25" i="1" s="1"/>
  <c r="AF25" i="1" s="1"/>
  <c r="M8" i="1"/>
  <c r="N8" i="1" s="1"/>
  <c r="M55" i="1"/>
  <c r="N55" i="1" s="1"/>
  <c r="AF55" i="1" s="1"/>
  <c r="M11" i="1"/>
  <c r="N11" i="1" s="1"/>
  <c r="M24" i="1"/>
  <c r="N24" i="1" s="1"/>
  <c r="AF24" i="1" s="1"/>
  <c r="M30" i="1"/>
  <c r="N30" i="1" s="1"/>
  <c r="AF30" i="1" s="1"/>
  <c r="M54" i="1"/>
  <c r="N54" i="1" s="1"/>
  <c r="AF54" i="1" s="1"/>
  <c r="M49" i="1"/>
  <c r="N49" i="1" s="1"/>
  <c r="AF49" i="1" s="1"/>
  <c r="M51" i="1"/>
  <c r="N51" i="1" s="1"/>
  <c r="AF51" i="1" s="1"/>
  <c r="M35" i="1"/>
  <c r="N35" i="1" s="1"/>
  <c r="AF35" i="1" s="1"/>
  <c r="M47" i="1"/>
  <c r="N47" i="1" s="1"/>
  <c r="AF47" i="1" s="1"/>
  <c r="M58" i="1"/>
  <c r="N58" i="1" s="1"/>
  <c r="AF58" i="1" s="1"/>
  <c r="M18" i="1"/>
  <c r="N18" i="1" s="1"/>
  <c r="AF18" i="1" s="1"/>
  <c r="M21" i="1"/>
  <c r="N21" i="1" s="1"/>
  <c r="AF21" i="1" s="1"/>
  <c r="M23" i="1"/>
  <c r="N23" i="1" s="1"/>
  <c r="AF23" i="1" s="1"/>
  <c r="M32" i="1"/>
  <c r="N32" i="1" s="1"/>
  <c r="AF32" i="1" s="1"/>
  <c r="M36" i="1"/>
  <c r="N36" i="1" s="1"/>
  <c r="AF36" i="1" s="1"/>
  <c r="M22" i="1"/>
  <c r="N22" i="1" s="1"/>
  <c r="AF22" i="1" s="1"/>
  <c r="M64" i="1"/>
  <c r="N64" i="1" s="1"/>
  <c r="AF64" i="1" s="1"/>
  <c r="M60" i="1"/>
  <c r="N60" i="1" s="1"/>
  <c r="AF60" i="1" s="1"/>
  <c r="M67" i="1"/>
  <c r="N67" i="1" s="1"/>
  <c r="AF67" i="1" s="1"/>
  <c r="M63" i="1"/>
  <c r="N63" i="1" s="1"/>
  <c r="AF63" i="1" s="1"/>
  <c r="M66" i="1"/>
  <c r="N66" i="1" s="1"/>
  <c r="AF66" i="1" s="1"/>
  <c r="AF11" i="1" l="1"/>
  <c r="AC11" i="1"/>
  <c r="AF8" i="1"/>
  <c r="O8" i="1"/>
  <c r="AF7" i="1"/>
  <c r="P7" i="1"/>
  <c r="AE74" i="1"/>
  <c r="H18" i="14" s="1"/>
  <c r="AF74" i="1"/>
  <c r="I18" i="14" s="1"/>
  <c r="Z74" i="1"/>
  <c r="AA74" i="1"/>
  <c r="AB74" i="1"/>
  <c r="E18" i="14" s="1"/>
  <c r="AC74" i="1"/>
  <c r="F18" i="14" s="1"/>
  <c r="W74" i="1"/>
  <c r="AD74" i="1"/>
  <c r="G18" i="14" s="1"/>
  <c r="X74" i="1"/>
  <c r="Y74" i="1"/>
  <c r="AD75" i="1"/>
  <c r="G19" i="14" s="1"/>
  <c r="Y75" i="1"/>
  <c r="W75" i="1"/>
  <c r="X75" i="1"/>
  <c r="AC75" i="1"/>
  <c r="F19" i="14" s="1"/>
  <c r="AA75" i="1"/>
  <c r="AB75" i="1"/>
  <c r="E19" i="14" s="1"/>
  <c r="Z75" i="1"/>
  <c r="AE75" i="1"/>
  <c r="H19" i="14" s="1"/>
  <c r="AF75" i="1"/>
  <c r="I19" i="14" s="1"/>
  <c r="AD73" i="1"/>
  <c r="G17" i="14" s="1"/>
  <c r="AE73" i="1"/>
  <c r="H17" i="14" s="1"/>
  <c r="AF73" i="1"/>
  <c r="I17" i="14" s="1"/>
  <c r="Y73" i="1"/>
  <c r="W73" i="1"/>
  <c r="X73" i="1"/>
  <c r="AC73" i="1"/>
  <c r="F17" i="14" s="1"/>
  <c r="Z73" i="1"/>
  <c r="AA73" i="1"/>
  <c r="AB73" i="1"/>
  <c r="E17" i="14" s="1"/>
  <c r="AB7" i="1"/>
  <c r="AE44" i="1"/>
  <c r="AE12" i="1"/>
  <c r="AE61" i="1"/>
  <c r="AE50" i="1"/>
  <c r="AE38" i="1"/>
  <c r="AE40" i="1"/>
  <c r="AE23" i="1"/>
  <c r="AE58" i="1"/>
  <c r="AE49" i="1"/>
  <c r="AE11" i="1"/>
  <c r="AE14" i="1"/>
  <c r="AE59" i="1"/>
  <c r="AE31" i="1"/>
  <c r="AE62" i="1"/>
  <c r="AE42" i="1"/>
  <c r="AE29" i="1"/>
  <c r="AE57" i="1"/>
  <c r="AE27" i="1"/>
  <c r="AE36" i="1"/>
  <c r="AE18" i="1"/>
  <c r="AE35" i="1"/>
  <c r="AE8" i="1"/>
  <c r="AE46" i="1"/>
  <c r="AE48" i="1"/>
  <c r="AE41" i="1"/>
  <c r="AE26" i="1"/>
  <c r="AE20" i="1"/>
  <c r="AE56" i="1"/>
  <c r="AE53" i="1"/>
  <c r="AE19" i="1"/>
  <c r="AE47" i="1"/>
  <c r="AE55" i="1"/>
  <c r="AE9" i="1"/>
  <c r="AE65" i="1"/>
  <c r="AE43" i="1"/>
  <c r="X65" i="1"/>
  <c r="AE32" i="1"/>
  <c r="AE52" i="1"/>
  <c r="AE10" i="1"/>
  <c r="AE33" i="1"/>
  <c r="AE17" i="1"/>
  <c r="AD60" i="1"/>
  <c r="AE60" i="1"/>
  <c r="AD13" i="1"/>
  <c r="AE13" i="1"/>
  <c r="AD64" i="1"/>
  <c r="AE64" i="1"/>
  <c r="W15" i="1"/>
  <c r="AE15" i="1"/>
  <c r="AD63" i="1"/>
  <c r="AE63" i="1"/>
  <c r="AD54" i="1"/>
  <c r="AE54" i="1"/>
  <c r="AD39" i="1"/>
  <c r="AE39" i="1"/>
  <c r="X16" i="1"/>
  <c r="AE16" i="1"/>
  <c r="AD51" i="1"/>
  <c r="AE51" i="1"/>
  <c r="AD25" i="1"/>
  <c r="AE25" i="1"/>
  <c r="AD45" i="1"/>
  <c r="AE45" i="1"/>
  <c r="AD66" i="1"/>
  <c r="AE66" i="1"/>
  <c r="AD22" i="1"/>
  <c r="AE22" i="1"/>
  <c r="AD21" i="1"/>
  <c r="AE21" i="1"/>
  <c r="AD34" i="1"/>
  <c r="AE34" i="1"/>
  <c r="AD67" i="1"/>
  <c r="AE67" i="1"/>
  <c r="AD30" i="1"/>
  <c r="AE30" i="1"/>
  <c r="AD28" i="1"/>
  <c r="AE28" i="1"/>
  <c r="AD24" i="1"/>
  <c r="AE24" i="1"/>
  <c r="O40" i="1"/>
  <c r="AD40" i="1"/>
  <c r="Y40" i="1"/>
  <c r="AA40" i="1"/>
  <c r="AB40" i="1"/>
  <c r="W40" i="1"/>
  <c r="AC40" i="1"/>
  <c r="P40" i="1"/>
  <c r="Q40" i="1" s="1"/>
  <c r="S40" i="1" s="1"/>
  <c r="Z40" i="1"/>
  <c r="X40" i="1"/>
  <c r="AC32" i="1"/>
  <c r="AD32" i="1"/>
  <c r="AC35" i="1"/>
  <c r="AD35" i="1"/>
  <c r="AC8" i="1"/>
  <c r="AD8" i="1"/>
  <c r="AC46" i="1"/>
  <c r="AD46" i="1"/>
  <c r="AC48" i="1"/>
  <c r="AD48" i="1"/>
  <c r="AC62" i="1"/>
  <c r="AD62" i="1"/>
  <c r="AC42" i="1"/>
  <c r="AD42" i="1"/>
  <c r="AC29" i="1"/>
  <c r="AD29" i="1"/>
  <c r="AC57" i="1"/>
  <c r="AD57" i="1"/>
  <c r="AC27" i="1"/>
  <c r="AD27" i="1"/>
  <c r="AC15" i="1"/>
  <c r="AD15" i="1"/>
  <c r="AC23" i="1"/>
  <c r="AD23" i="1"/>
  <c r="AC61" i="1"/>
  <c r="AD61" i="1"/>
  <c r="AC50" i="1"/>
  <c r="AD50" i="1"/>
  <c r="AC65" i="1"/>
  <c r="AD65" i="1"/>
  <c r="AC43" i="1"/>
  <c r="AD43" i="1"/>
  <c r="AC16" i="1"/>
  <c r="AD16" i="1"/>
  <c r="AC12" i="1"/>
  <c r="AD12" i="1"/>
  <c r="AC58" i="1"/>
  <c r="AD58" i="1"/>
  <c r="AC49" i="1"/>
  <c r="AD49" i="1"/>
  <c r="AD11" i="1"/>
  <c r="AC14" i="1"/>
  <c r="AD14" i="1"/>
  <c r="AC59" i="1"/>
  <c r="AD59" i="1"/>
  <c r="AC31" i="1"/>
  <c r="AD31" i="1"/>
  <c r="Z34" i="1"/>
  <c r="N37" i="1"/>
  <c r="AF37" i="1" s="1"/>
  <c r="AC26" i="1"/>
  <c r="AD26" i="1"/>
  <c r="AC20" i="1"/>
  <c r="AD20" i="1"/>
  <c r="AC56" i="1"/>
  <c r="AD56" i="1"/>
  <c r="AC53" i="1"/>
  <c r="AD53" i="1"/>
  <c r="AC19" i="1"/>
  <c r="AD19" i="1"/>
  <c r="W43" i="1"/>
  <c r="AC36" i="1"/>
  <c r="AD36" i="1"/>
  <c r="AC18" i="1"/>
  <c r="AD18" i="1"/>
  <c r="AC47" i="1"/>
  <c r="AD47" i="1"/>
  <c r="AC55" i="1"/>
  <c r="AD55" i="1"/>
  <c r="AC9" i="1"/>
  <c r="AD9" i="1"/>
  <c r="AC44" i="1"/>
  <c r="AD44" i="1"/>
  <c r="Y12" i="1"/>
  <c r="AC52" i="1"/>
  <c r="AD52" i="1"/>
  <c r="AC38" i="1"/>
  <c r="AD38" i="1"/>
  <c r="AC10" i="1"/>
  <c r="AD10" i="1"/>
  <c r="AC33" i="1"/>
  <c r="AD33" i="1"/>
  <c r="AC17" i="1"/>
  <c r="AD17" i="1"/>
  <c r="AC41" i="1"/>
  <c r="AD41" i="1"/>
  <c r="AB21" i="1"/>
  <c r="AC21" i="1"/>
  <c r="AB67" i="1"/>
  <c r="AC67" i="1"/>
  <c r="W29" i="1"/>
  <c r="AB54" i="1"/>
  <c r="AC54" i="1"/>
  <c r="AB63" i="1"/>
  <c r="AC63" i="1"/>
  <c r="AB22" i="1"/>
  <c r="AC22" i="1"/>
  <c r="AB60" i="1"/>
  <c r="AC60" i="1"/>
  <c r="AB28" i="1"/>
  <c r="AC28" i="1"/>
  <c r="AB30" i="1"/>
  <c r="AC30" i="1"/>
  <c r="AB66" i="1"/>
  <c r="AC66" i="1"/>
  <c r="AB64" i="1"/>
  <c r="AC64" i="1"/>
  <c r="AB13" i="1"/>
  <c r="AC13" i="1"/>
  <c r="AB51" i="1"/>
  <c r="AC51" i="1"/>
  <c r="AB24" i="1"/>
  <c r="AC24" i="1"/>
  <c r="AB25" i="1"/>
  <c r="AC25" i="1"/>
  <c r="AB45" i="1"/>
  <c r="AC45" i="1"/>
  <c r="W34" i="1"/>
  <c r="AC34" i="1"/>
  <c r="W39" i="1"/>
  <c r="AC39" i="1"/>
  <c r="AA36" i="1"/>
  <c r="AB36" i="1"/>
  <c r="AA47" i="1"/>
  <c r="AB47" i="1"/>
  <c r="AA55" i="1"/>
  <c r="AB55" i="1"/>
  <c r="AA9" i="1"/>
  <c r="AB9" i="1"/>
  <c r="O65" i="1"/>
  <c r="AB65" i="1"/>
  <c r="O43" i="1"/>
  <c r="AB43" i="1"/>
  <c r="AA16" i="1"/>
  <c r="AB16" i="1"/>
  <c r="P39" i="1"/>
  <c r="Q39" i="1" s="1"/>
  <c r="V39" i="1" s="1"/>
  <c r="P34" i="1"/>
  <c r="Q34" i="1" s="1"/>
  <c r="S34" i="1" s="1"/>
  <c r="AA35" i="1"/>
  <c r="AB35" i="1"/>
  <c r="AA8" i="1"/>
  <c r="AB8" i="1"/>
  <c r="AA46" i="1"/>
  <c r="AB46" i="1"/>
  <c r="AA48" i="1"/>
  <c r="AB48" i="1"/>
  <c r="AA41" i="1"/>
  <c r="AB41" i="1"/>
  <c r="Y65" i="1"/>
  <c r="Y16" i="1"/>
  <c r="Z37" i="1"/>
  <c r="P26" i="1"/>
  <c r="Q26" i="1" s="1"/>
  <c r="U26" i="1" s="1"/>
  <c r="AB26" i="1"/>
  <c r="P20" i="1"/>
  <c r="Q20" i="1" s="1"/>
  <c r="V20" i="1" s="1"/>
  <c r="AB20" i="1"/>
  <c r="AA56" i="1"/>
  <c r="AB56" i="1"/>
  <c r="AA53" i="1"/>
  <c r="AB53" i="1"/>
  <c r="Z19" i="1"/>
  <c r="AB19" i="1"/>
  <c r="AA61" i="1"/>
  <c r="AB61" i="1"/>
  <c r="AA50" i="1"/>
  <c r="AB50" i="1"/>
  <c r="Z52" i="1"/>
  <c r="AB52" i="1"/>
  <c r="Y10" i="1"/>
  <c r="AB10" i="1"/>
  <c r="AA33" i="1"/>
  <c r="AB33" i="1"/>
  <c r="Z17" i="1"/>
  <c r="AB17" i="1"/>
  <c r="AA18" i="1"/>
  <c r="AB18" i="1"/>
  <c r="AA44" i="1"/>
  <c r="AB44" i="1"/>
  <c r="Y34" i="1"/>
  <c r="AB34" i="1"/>
  <c r="Y39" i="1"/>
  <c r="AB39" i="1"/>
  <c r="Z12" i="1"/>
  <c r="AB12" i="1"/>
  <c r="W65" i="1"/>
  <c r="AA32" i="1"/>
  <c r="AB32" i="1"/>
  <c r="P12" i="1"/>
  <c r="Q12" i="1" s="1"/>
  <c r="V12" i="1" s="1"/>
  <c r="AA23" i="1"/>
  <c r="AB23" i="1"/>
  <c r="AA34" i="1"/>
  <c r="AA39" i="1"/>
  <c r="Z38" i="1"/>
  <c r="AB38" i="1"/>
  <c r="P43" i="1"/>
  <c r="Q43" i="1" s="1"/>
  <c r="S43" i="1" s="1"/>
  <c r="W12" i="1"/>
  <c r="P16" i="1"/>
  <c r="Q16" i="1" s="1"/>
  <c r="S16" i="1" s="1"/>
  <c r="AA58" i="1"/>
  <c r="AB58" i="1"/>
  <c r="AA49" i="1"/>
  <c r="AB49" i="1"/>
  <c r="P11" i="1"/>
  <c r="Q11" i="1" s="1"/>
  <c r="V11" i="1" s="1"/>
  <c r="AB11" i="1"/>
  <c r="AA14" i="1"/>
  <c r="AB14" i="1"/>
  <c r="AA59" i="1"/>
  <c r="AB59" i="1"/>
  <c r="AA31" i="1"/>
  <c r="AB31" i="1"/>
  <c r="Z65" i="1"/>
  <c r="Y52" i="1"/>
  <c r="AA62" i="1"/>
  <c r="AB62" i="1"/>
  <c r="Z42" i="1"/>
  <c r="AB42" i="1"/>
  <c r="P29" i="1"/>
  <c r="Q29" i="1" s="1"/>
  <c r="U29" i="1" s="1"/>
  <c r="AB29" i="1"/>
  <c r="P57" i="1"/>
  <c r="Q57" i="1" s="1"/>
  <c r="U57" i="1" s="1"/>
  <c r="AB57" i="1"/>
  <c r="P27" i="1"/>
  <c r="Q27" i="1" s="1"/>
  <c r="V27" i="1" s="1"/>
  <c r="AB27" i="1"/>
  <c r="O15" i="1"/>
  <c r="AB15" i="1"/>
  <c r="AA19" i="1"/>
  <c r="P10" i="1"/>
  <c r="Q10" i="1" s="1"/>
  <c r="V10" i="1" s="1"/>
  <c r="Y15" i="1"/>
  <c r="O56" i="1"/>
  <c r="Y20" i="1"/>
  <c r="Z10" i="1"/>
  <c r="P53" i="1"/>
  <c r="Q53" i="1" s="1"/>
  <c r="U53" i="1" s="1"/>
  <c r="O12" i="1"/>
  <c r="X39" i="1"/>
  <c r="W16" i="1"/>
  <c r="O34" i="1"/>
  <c r="W52" i="1"/>
  <c r="Z39" i="1"/>
  <c r="AA12" i="1"/>
  <c r="AA43" i="1"/>
  <c r="X53" i="1"/>
  <c r="O26" i="1"/>
  <c r="X20" i="1"/>
  <c r="Y53" i="1"/>
  <c r="O53" i="1"/>
  <c r="X52" i="1"/>
  <c r="Y33" i="1"/>
  <c r="W57" i="1"/>
  <c r="O10" i="1"/>
  <c r="P52" i="1"/>
  <c r="Q52" i="1" s="1"/>
  <c r="U52" i="1" s="1"/>
  <c r="W17" i="1"/>
  <c r="AA52" i="1"/>
  <c r="X12" i="1"/>
  <c r="X15" i="1"/>
  <c r="O39" i="1"/>
  <c r="O16" i="1"/>
  <c r="X34" i="1"/>
  <c r="W27" i="1"/>
  <c r="W48" i="1"/>
  <c r="O52" i="1"/>
  <c r="Z33" i="1"/>
  <c r="AA10" i="1"/>
  <c r="Y17" i="1"/>
  <c r="X10" i="1"/>
  <c r="W10" i="1"/>
  <c r="O17" i="1"/>
  <c r="O62" i="1"/>
  <c r="X57" i="1"/>
  <c r="W42" i="1"/>
  <c r="X42" i="1"/>
  <c r="Z29" i="1"/>
  <c r="Z15" i="1"/>
  <c r="Y57" i="1"/>
  <c r="AA42" i="1"/>
  <c r="Y42" i="1"/>
  <c r="W62" i="1"/>
  <c r="O29" i="1"/>
  <c r="P15" i="1"/>
  <c r="Q15" i="1" s="1"/>
  <c r="V15" i="1" s="1"/>
  <c r="O57" i="1"/>
  <c r="P42" i="1"/>
  <c r="Q42" i="1" s="1"/>
  <c r="V42" i="1" s="1"/>
  <c r="O20" i="1"/>
  <c r="Z43" i="1"/>
  <c r="Z16" i="1"/>
  <c r="AA57" i="1"/>
  <c r="AA65" i="1"/>
  <c r="AA20" i="1"/>
  <c r="O27" i="1"/>
  <c r="O42" i="1"/>
  <c r="Z20" i="1"/>
  <c r="AA15" i="1"/>
  <c r="Y27" i="1"/>
  <c r="Z57" i="1"/>
  <c r="X38" i="1"/>
  <c r="W33" i="1"/>
  <c r="P38" i="1"/>
  <c r="Q38" i="1" s="1"/>
  <c r="S38" i="1" s="1"/>
  <c r="O33" i="1"/>
  <c r="Z53" i="1"/>
  <c r="AA29" i="1"/>
  <c r="Y26" i="1"/>
  <c r="Z62" i="1"/>
  <c r="W56" i="1"/>
  <c r="X19" i="1"/>
  <c r="P19" i="1"/>
  <c r="Q19" i="1" s="1"/>
  <c r="V19" i="1" s="1"/>
  <c r="O19" i="1"/>
  <c r="X33" i="1"/>
  <c r="Y38" i="1"/>
  <c r="W26" i="1"/>
  <c r="O38" i="1"/>
  <c r="Y19" i="1"/>
  <c r="Y29" i="1"/>
  <c r="W19" i="1"/>
  <c r="Z26" i="1"/>
  <c r="X43" i="1"/>
  <c r="X56" i="1"/>
  <c r="X26" i="1"/>
  <c r="X27" i="1"/>
  <c r="AA17" i="1"/>
  <c r="Y43" i="1"/>
  <c r="Y56" i="1"/>
  <c r="P33" i="1"/>
  <c r="Q33" i="1" s="1"/>
  <c r="T33" i="1" s="1"/>
  <c r="AA26" i="1"/>
  <c r="W53" i="1"/>
  <c r="W38" i="1"/>
  <c r="Z27" i="1"/>
  <c r="AA38" i="1"/>
  <c r="P65" i="1"/>
  <c r="Q65" i="1" s="1"/>
  <c r="R65" i="1" s="1"/>
  <c r="X62" i="1"/>
  <c r="X29" i="1"/>
  <c r="W20" i="1"/>
  <c r="X17" i="1"/>
  <c r="Z56" i="1"/>
  <c r="AA27" i="1"/>
  <c r="P62" i="1"/>
  <c r="Q62" i="1" s="1"/>
  <c r="U62" i="1" s="1"/>
  <c r="P56" i="1"/>
  <c r="Q56" i="1" s="1"/>
  <c r="R56" i="1" s="1"/>
  <c r="P17" i="1"/>
  <c r="Q17" i="1" s="1"/>
  <c r="V17" i="1" s="1"/>
  <c r="Y62" i="1"/>
  <c r="X18" i="1"/>
  <c r="P18" i="1"/>
  <c r="Q18" i="1" s="1"/>
  <c r="R18" i="1" s="1"/>
  <c r="X48" i="1"/>
  <c r="W55" i="1"/>
  <c r="W32" i="1"/>
  <c r="W44" i="1"/>
  <c r="P8" i="1"/>
  <c r="Q8" i="1" s="1"/>
  <c r="R8" i="1" s="1"/>
  <c r="X23" i="1"/>
  <c r="X49" i="1"/>
  <c r="W9" i="1"/>
  <c r="X36" i="1"/>
  <c r="X32" i="1"/>
  <c r="W41" i="1"/>
  <c r="O44" i="1"/>
  <c r="P9" i="1"/>
  <c r="Q9" i="1" s="1"/>
  <c r="V9" i="1" s="1"/>
  <c r="Z28" i="1"/>
  <c r="AA28" i="1"/>
  <c r="X45" i="1"/>
  <c r="AA45" i="1"/>
  <c r="Z13" i="1"/>
  <c r="AA13" i="1"/>
  <c r="Z24" i="1"/>
  <c r="AA24" i="1"/>
  <c r="X46" i="1"/>
  <c r="Z22" i="1"/>
  <c r="AA22" i="1"/>
  <c r="O46" i="1"/>
  <c r="W45" i="1"/>
  <c r="X24" i="1"/>
  <c r="O58" i="1"/>
  <c r="Z21" i="1"/>
  <c r="AA21" i="1"/>
  <c r="X59" i="1"/>
  <c r="W49" i="1"/>
  <c r="X44" i="1"/>
  <c r="W46" i="1"/>
  <c r="W11" i="1"/>
  <c r="W58" i="1"/>
  <c r="O13" i="1"/>
  <c r="Z54" i="1"/>
  <c r="AA54" i="1"/>
  <c r="Z30" i="1"/>
  <c r="AA30" i="1"/>
  <c r="P61" i="1"/>
  <c r="Q61" i="1" s="1"/>
  <c r="V61" i="1" s="1"/>
  <c r="Z67" i="1"/>
  <c r="AA67" i="1"/>
  <c r="O61" i="1"/>
  <c r="X11" i="1"/>
  <c r="Z60" i="1"/>
  <c r="AA60" i="1"/>
  <c r="P59" i="1"/>
  <c r="Q59" i="1" s="1"/>
  <c r="T59" i="1" s="1"/>
  <c r="P41" i="1"/>
  <c r="Q41" i="1" s="1"/>
  <c r="U41" i="1" s="1"/>
  <c r="W31" i="1"/>
  <c r="Z66" i="1"/>
  <c r="AA66" i="1"/>
  <c r="Z63" i="1"/>
  <c r="AA63" i="1"/>
  <c r="X31" i="1"/>
  <c r="P22" i="1"/>
  <c r="Q22" i="1" s="1"/>
  <c r="V22" i="1" s="1"/>
  <c r="Z11" i="1"/>
  <c r="AA11" i="1"/>
  <c r="Z64" i="1"/>
  <c r="AA64" i="1"/>
  <c r="P49" i="1"/>
  <c r="Q49" i="1" s="1"/>
  <c r="V49" i="1" s="1"/>
  <c r="O41" i="1"/>
  <c r="P58" i="1"/>
  <c r="Q58" i="1" s="1"/>
  <c r="S58" i="1" s="1"/>
  <c r="Z51" i="1"/>
  <c r="AA51" i="1"/>
  <c r="W25" i="1"/>
  <c r="AA25" i="1"/>
  <c r="Y50" i="1"/>
  <c r="Z50" i="1"/>
  <c r="P25" i="1"/>
  <c r="Q25" i="1" s="1"/>
  <c r="V25" i="1" s="1"/>
  <c r="Y49" i="1"/>
  <c r="Z49" i="1"/>
  <c r="Y14" i="1"/>
  <c r="Z14" i="1"/>
  <c r="Y9" i="1"/>
  <c r="Z9" i="1"/>
  <c r="O49" i="1"/>
  <c r="X21" i="1"/>
  <c r="O9" i="1"/>
  <c r="Y18" i="1"/>
  <c r="Z18" i="1"/>
  <c r="Z7" i="1"/>
  <c r="Y48" i="1"/>
  <c r="Z48" i="1"/>
  <c r="Y46" i="1"/>
  <c r="Z46" i="1"/>
  <c r="Y44" i="1"/>
  <c r="Z44" i="1"/>
  <c r="Y23" i="1"/>
  <c r="Z23" i="1"/>
  <c r="W14" i="1"/>
  <c r="Y61" i="1"/>
  <c r="Z61" i="1"/>
  <c r="X61" i="1"/>
  <c r="Y58" i="1"/>
  <c r="Z58" i="1"/>
  <c r="Y59" i="1"/>
  <c r="Z59" i="1"/>
  <c r="Y47" i="1"/>
  <c r="Z47" i="1"/>
  <c r="Y41" i="1"/>
  <c r="Z41" i="1"/>
  <c r="Y25" i="1"/>
  <c r="Z25" i="1"/>
  <c r="W23" i="1"/>
  <c r="X50" i="1"/>
  <c r="Y45" i="1"/>
  <c r="Z45" i="1"/>
  <c r="P50" i="1"/>
  <c r="Q50" i="1" s="1"/>
  <c r="V50" i="1" s="1"/>
  <c r="Y31" i="1"/>
  <c r="Z31" i="1"/>
  <c r="P45" i="1"/>
  <c r="Q45" i="1" s="1"/>
  <c r="V45" i="1" s="1"/>
  <c r="O50" i="1"/>
  <c r="O59" i="1"/>
  <c r="P31" i="1"/>
  <c r="Q31" i="1" s="1"/>
  <c r="U31" i="1" s="1"/>
  <c r="P48" i="1"/>
  <c r="Q48" i="1" s="1"/>
  <c r="R48" i="1" s="1"/>
  <c r="X30" i="1"/>
  <c r="Y36" i="1"/>
  <c r="Z36" i="1"/>
  <c r="Y55" i="1"/>
  <c r="Z55" i="1"/>
  <c r="W50" i="1"/>
  <c r="W59" i="1"/>
  <c r="X41" i="1"/>
  <c r="P44" i="1"/>
  <c r="Q44" i="1" s="1"/>
  <c r="T44" i="1" s="1"/>
  <c r="P21" i="1"/>
  <c r="Q21" i="1" s="1"/>
  <c r="U21" i="1" s="1"/>
  <c r="P46" i="1"/>
  <c r="Q46" i="1" s="1"/>
  <c r="R46" i="1" s="1"/>
  <c r="O31" i="1"/>
  <c r="P23" i="1"/>
  <c r="Q23" i="1" s="1"/>
  <c r="T23" i="1" s="1"/>
  <c r="O7" i="1"/>
  <c r="O45" i="1"/>
  <c r="X58" i="1"/>
  <c r="O48" i="1"/>
  <c r="X9" i="1"/>
  <c r="Y32" i="1"/>
  <c r="Z32" i="1"/>
  <c r="Y35" i="1"/>
  <c r="Z35" i="1"/>
  <c r="Y8" i="1"/>
  <c r="Z8" i="1"/>
  <c r="W60" i="1"/>
  <c r="Y60" i="1"/>
  <c r="O47" i="1"/>
  <c r="W64" i="1"/>
  <c r="Y64" i="1"/>
  <c r="X55" i="1"/>
  <c r="X51" i="1"/>
  <c r="Y51" i="1"/>
  <c r="O35" i="1"/>
  <c r="O21" i="1"/>
  <c r="Y21" i="1"/>
  <c r="P35" i="1"/>
  <c r="Q35" i="1" s="1"/>
  <c r="V35" i="1" s="1"/>
  <c r="W8" i="1"/>
  <c r="P47" i="1"/>
  <c r="Q47" i="1" s="1"/>
  <c r="U47" i="1" s="1"/>
  <c r="P51" i="1"/>
  <c r="Q51" i="1" s="1"/>
  <c r="V51" i="1" s="1"/>
  <c r="W35" i="1"/>
  <c r="X47" i="1"/>
  <c r="W47" i="1"/>
  <c r="X14" i="1"/>
  <c r="O54" i="1"/>
  <c r="Y54" i="1"/>
  <c r="W66" i="1"/>
  <c r="Y66" i="1"/>
  <c r="O18" i="1"/>
  <c r="O51" i="1"/>
  <c r="O36" i="1"/>
  <c r="O25" i="1"/>
  <c r="W28" i="1"/>
  <c r="Y28" i="1"/>
  <c r="W30" i="1"/>
  <c r="Y30" i="1"/>
  <c r="W63" i="1"/>
  <c r="Y63" i="1"/>
  <c r="W18" i="1"/>
  <c r="W51" i="1"/>
  <c r="P55" i="1"/>
  <c r="Q55" i="1" s="1"/>
  <c r="U55" i="1" s="1"/>
  <c r="X35" i="1"/>
  <c r="O32" i="1"/>
  <c r="P14" i="1"/>
  <c r="Q14" i="1" s="1"/>
  <c r="T14" i="1" s="1"/>
  <c r="W36" i="1"/>
  <c r="P30" i="1"/>
  <c r="Q30" i="1" s="1"/>
  <c r="V30" i="1" s="1"/>
  <c r="X25" i="1"/>
  <c r="P13" i="1"/>
  <c r="Q13" i="1" s="1"/>
  <c r="V13" i="1" s="1"/>
  <c r="Y13" i="1"/>
  <c r="P24" i="1"/>
  <c r="Q24" i="1" s="1"/>
  <c r="V24" i="1" s="1"/>
  <c r="Y24" i="1"/>
  <c r="X67" i="1"/>
  <c r="Y67" i="1"/>
  <c r="X28" i="1"/>
  <c r="X8" i="1"/>
  <c r="W61" i="1"/>
  <c r="O55" i="1"/>
  <c r="O23" i="1"/>
  <c r="P32" i="1"/>
  <c r="Q32" i="1" s="1"/>
  <c r="S32" i="1" s="1"/>
  <c r="O14" i="1"/>
  <c r="P36" i="1"/>
  <c r="Q36" i="1" s="1"/>
  <c r="V36" i="1" s="1"/>
  <c r="W22" i="1"/>
  <c r="Y22" i="1"/>
  <c r="O11" i="1"/>
  <c r="Y11" i="1"/>
  <c r="P28" i="1"/>
  <c r="Q28" i="1" s="1"/>
  <c r="V28" i="1" s="1"/>
  <c r="O28" i="1"/>
  <c r="O24" i="1"/>
  <c r="O30" i="1"/>
  <c r="O22" i="1"/>
  <c r="X54" i="1"/>
  <c r="W21" i="1"/>
  <c r="W24" i="1"/>
  <c r="X22" i="1"/>
  <c r="W13" i="1"/>
  <c r="W54" i="1"/>
  <c r="X13" i="1"/>
  <c r="P54" i="1"/>
  <c r="Q54" i="1" s="1"/>
  <c r="S54" i="1" s="1"/>
  <c r="X64" i="1"/>
  <c r="O64" i="1"/>
  <c r="P64" i="1"/>
  <c r="Q64" i="1" s="1"/>
  <c r="X63" i="1"/>
  <c r="P63" i="1"/>
  <c r="Q63" i="1" s="1"/>
  <c r="O63" i="1"/>
  <c r="P67" i="1"/>
  <c r="Q67" i="1" s="1"/>
  <c r="O67" i="1"/>
  <c r="W67" i="1"/>
  <c r="X66" i="1"/>
  <c r="P66" i="1"/>
  <c r="Q66" i="1" s="1"/>
  <c r="O66" i="1"/>
  <c r="O60" i="1"/>
  <c r="P60" i="1"/>
  <c r="Q60" i="1" s="1"/>
  <c r="V60" i="1" s="1"/>
  <c r="X60" i="1"/>
  <c r="T16" i="1" l="1"/>
  <c r="S75" i="1"/>
  <c r="T75" i="1"/>
  <c r="R75" i="1"/>
  <c r="V75" i="1"/>
  <c r="U75" i="1"/>
  <c r="R73" i="1"/>
  <c r="U73" i="1"/>
  <c r="V73" i="1"/>
  <c r="S73" i="1"/>
  <c r="T73" i="1"/>
  <c r="R74" i="1"/>
  <c r="V74" i="1"/>
  <c r="T74" i="1"/>
  <c r="S74" i="1"/>
  <c r="U74" i="1"/>
  <c r="T26" i="1"/>
  <c r="U12" i="1"/>
  <c r="V40" i="1"/>
  <c r="S12" i="1"/>
  <c r="R27" i="1"/>
  <c r="S20" i="1"/>
  <c r="S56" i="1"/>
  <c r="R29" i="1"/>
  <c r="V56" i="1"/>
  <c r="U27" i="1"/>
  <c r="V29" i="1"/>
  <c r="R40" i="1"/>
  <c r="O37" i="1"/>
  <c r="S29" i="1"/>
  <c r="S27" i="1"/>
  <c r="T29" i="1"/>
  <c r="T27" i="1"/>
  <c r="U18" i="1"/>
  <c r="U40" i="1"/>
  <c r="X37" i="1"/>
  <c r="R12" i="1"/>
  <c r="T12" i="1"/>
  <c r="V65" i="1"/>
  <c r="U34" i="1"/>
  <c r="S17" i="1"/>
  <c r="V34" i="1"/>
  <c r="U10" i="1"/>
  <c r="R26" i="1"/>
  <c r="R16" i="1"/>
  <c r="V16" i="1"/>
  <c r="U16" i="1"/>
  <c r="T40" i="1"/>
  <c r="AD7" i="1"/>
  <c r="AE7" i="1"/>
  <c r="AD37" i="1"/>
  <c r="AE37" i="1"/>
  <c r="S39" i="1"/>
  <c r="R11" i="1"/>
  <c r="U39" i="1"/>
  <c r="V26" i="1"/>
  <c r="R39" i="1"/>
  <c r="T39" i="1"/>
  <c r="X7" i="1"/>
  <c r="P37" i="1"/>
  <c r="Q37" i="1" s="1"/>
  <c r="U37" i="1" s="1"/>
  <c r="AC37" i="1"/>
  <c r="R52" i="1"/>
  <c r="R15" i="1"/>
  <c r="U11" i="1"/>
  <c r="Y37" i="1"/>
  <c r="AA37" i="1"/>
  <c r="W37" i="1"/>
  <c r="S26" i="1"/>
  <c r="T34" i="1"/>
  <c r="U20" i="1"/>
  <c r="T11" i="1"/>
  <c r="U15" i="1"/>
  <c r="Y7" i="1"/>
  <c r="AB37" i="1"/>
  <c r="S10" i="1"/>
  <c r="T20" i="1"/>
  <c r="V43" i="1"/>
  <c r="R20" i="1"/>
  <c r="U43" i="1"/>
  <c r="AC7" i="1"/>
  <c r="T43" i="1"/>
  <c r="T10" i="1"/>
  <c r="R43" i="1"/>
  <c r="R10" i="1"/>
  <c r="S57" i="1"/>
  <c r="S52" i="1"/>
  <c r="R34" i="1"/>
  <c r="T57" i="1"/>
  <c r="V57" i="1"/>
  <c r="V52" i="1"/>
  <c r="S15" i="1"/>
  <c r="S11" i="1"/>
  <c r="T52" i="1"/>
  <c r="R57" i="1"/>
  <c r="W7" i="1"/>
  <c r="R53" i="1"/>
  <c r="S53" i="1"/>
  <c r="AA7" i="1"/>
  <c r="Q7" i="1"/>
  <c r="V53" i="1"/>
  <c r="T53" i="1"/>
  <c r="R33" i="1"/>
  <c r="U33" i="1"/>
  <c r="R17" i="1"/>
  <c r="T38" i="1"/>
  <c r="T15" i="1"/>
  <c r="U17" i="1"/>
  <c r="T17" i="1"/>
  <c r="U19" i="1"/>
  <c r="T42" i="1"/>
  <c r="V33" i="1"/>
  <c r="U38" i="1"/>
  <c r="S42" i="1"/>
  <c r="R38" i="1"/>
  <c r="U42" i="1"/>
  <c r="V38" i="1"/>
  <c r="T56" i="1"/>
  <c r="U56" i="1"/>
  <c r="U65" i="1"/>
  <c r="S65" i="1"/>
  <c r="R42" i="1"/>
  <c r="T65" i="1"/>
  <c r="S18" i="1"/>
  <c r="T62" i="1"/>
  <c r="V18" i="1"/>
  <c r="T18" i="1"/>
  <c r="R62" i="1"/>
  <c r="S33" i="1"/>
  <c r="T19" i="1"/>
  <c r="S19" i="1"/>
  <c r="V62" i="1"/>
  <c r="S62" i="1"/>
  <c r="R19" i="1"/>
  <c r="S22" i="1"/>
  <c r="R61" i="1"/>
  <c r="U61" i="1"/>
  <c r="S41" i="1"/>
  <c r="T41" i="1"/>
  <c r="R59" i="1"/>
  <c r="U22" i="1"/>
  <c r="T8" i="1"/>
  <c r="V8" i="1"/>
  <c r="U59" i="1"/>
  <c r="T22" i="1"/>
  <c r="V46" i="1"/>
  <c r="S36" i="1"/>
  <c r="V59" i="1"/>
  <c r="T50" i="1"/>
  <c r="S8" i="1"/>
  <c r="V58" i="1"/>
  <c r="V48" i="1"/>
  <c r="S49" i="1"/>
  <c r="S25" i="1"/>
  <c r="S48" i="1"/>
  <c r="U8" i="1"/>
  <c r="T58" i="1"/>
  <c r="R49" i="1"/>
  <c r="S21" i="1"/>
  <c r="U48" i="1"/>
  <c r="R58" i="1"/>
  <c r="T48" i="1"/>
  <c r="R32" i="1"/>
  <c r="U14" i="1"/>
  <c r="S14" i="1"/>
  <c r="R25" i="1"/>
  <c r="T25" i="1"/>
  <c r="V14" i="1"/>
  <c r="S44" i="1"/>
  <c r="S50" i="1"/>
  <c r="R44" i="1"/>
  <c r="V32" i="1"/>
  <c r="U32" i="1"/>
  <c r="R50" i="1"/>
  <c r="S9" i="1"/>
  <c r="U9" i="1"/>
  <c r="R9" i="1"/>
  <c r="R14" i="1"/>
  <c r="T9" i="1"/>
  <c r="U51" i="1"/>
  <c r="U49" i="1"/>
  <c r="V44" i="1"/>
  <c r="S59" i="1"/>
  <c r="R22" i="1"/>
  <c r="T32" i="1"/>
  <c r="T54" i="1"/>
  <c r="T49" i="1"/>
  <c r="U44" i="1"/>
  <c r="U46" i="1"/>
  <c r="T31" i="1"/>
  <c r="U58" i="1"/>
  <c r="S61" i="1"/>
  <c r="T21" i="1"/>
  <c r="R41" i="1"/>
  <c r="V41" i="1"/>
  <c r="R28" i="1"/>
  <c r="R23" i="1"/>
  <c r="R31" i="1"/>
  <c r="S23" i="1"/>
  <c r="T55" i="1"/>
  <c r="V31" i="1"/>
  <c r="S31" i="1"/>
  <c r="T61" i="1"/>
  <c r="R21" i="1"/>
  <c r="R54" i="1"/>
  <c r="U50" i="1"/>
  <c r="U25" i="1"/>
  <c r="T36" i="1"/>
  <c r="S55" i="1"/>
  <c r="U35" i="1"/>
  <c r="S13" i="1"/>
  <c r="T45" i="1"/>
  <c r="V23" i="1"/>
  <c r="S30" i="1"/>
  <c r="R13" i="1"/>
  <c r="T35" i="1"/>
  <c r="T46" i="1"/>
  <c r="U23" i="1"/>
  <c r="V21" i="1"/>
  <c r="R55" i="1"/>
  <c r="U45" i="1"/>
  <c r="S46" i="1"/>
  <c r="R36" i="1"/>
  <c r="S45" i="1"/>
  <c r="R30" i="1"/>
  <c r="R35" i="1"/>
  <c r="U24" i="1"/>
  <c r="S35" i="1"/>
  <c r="R45" i="1"/>
  <c r="U36" i="1"/>
  <c r="S47" i="1"/>
  <c r="V55" i="1"/>
  <c r="R24" i="1"/>
  <c r="S24" i="1"/>
  <c r="T24" i="1"/>
  <c r="U28" i="1"/>
  <c r="T28" i="1"/>
  <c r="T51" i="1"/>
  <c r="T47" i="1"/>
  <c r="U30" i="1"/>
  <c r="U13" i="1"/>
  <c r="V47" i="1"/>
  <c r="S28" i="1"/>
  <c r="S51" i="1"/>
  <c r="R51" i="1"/>
  <c r="R47" i="1"/>
  <c r="T30" i="1"/>
  <c r="T13" i="1"/>
  <c r="U67" i="1"/>
  <c r="V67" i="1"/>
  <c r="U54" i="1"/>
  <c r="V54" i="1"/>
  <c r="U66" i="1"/>
  <c r="V66" i="1"/>
  <c r="U63" i="1"/>
  <c r="V63" i="1"/>
  <c r="U64" i="1"/>
  <c r="V64" i="1"/>
  <c r="T60" i="1"/>
  <c r="U60" i="1"/>
  <c r="R67" i="1"/>
  <c r="T67" i="1"/>
  <c r="R63" i="1"/>
  <c r="T63" i="1"/>
  <c r="R66" i="1"/>
  <c r="T66" i="1"/>
  <c r="S64" i="1"/>
  <c r="T64" i="1"/>
  <c r="R64" i="1"/>
  <c r="S67" i="1"/>
  <c r="S63" i="1"/>
  <c r="S66" i="1"/>
  <c r="R60" i="1"/>
  <c r="S60" i="1"/>
  <c r="T37" i="1" l="1"/>
  <c r="V37" i="1"/>
  <c r="S37" i="1"/>
  <c r="R37" i="1"/>
  <c r="V7" i="1" l="1"/>
  <c r="R7" i="1"/>
  <c r="U7" i="1"/>
  <c r="S7" i="1"/>
  <c r="T7" i="1"/>
  <c r="G7" i="14" l="1"/>
  <c r="J77" i="1"/>
  <c r="F7" i="14"/>
  <c r="H77" i="1"/>
  <c r="I72" i="1"/>
  <c r="J72" i="1"/>
  <c r="H7" i="14" s="1"/>
  <c r="M72" i="1" l="1"/>
  <c r="B16" i="14" l="1"/>
  <c r="M77" i="1"/>
  <c r="N72" i="1"/>
  <c r="AD72" i="1" l="1"/>
  <c r="G16" i="14" s="1"/>
  <c r="AE72" i="1"/>
  <c r="H16" i="14" s="1"/>
  <c r="Z72" i="1"/>
  <c r="Z77" i="1" s="1"/>
  <c r="AF72" i="1"/>
  <c r="I16" i="14" s="1"/>
  <c r="Y72" i="1"/>
  <c r="Y77" i="1" s="1"/>
  <c r="O72" i="1"/>
  <c r="X72" i="1"/>
  <c r="X77" i="1" s="1"/>
  <c r="N77" i="1"/>
  <c r="AC72" i="1"/>
  <c r="F16" i="14" s="1"/>
  <c r="P72" i="1"/>
  <c r="C16" i="14"/>
  <c r="AB72" i="1"/>
  <c r="E16" i="14" s="1"/>
  <c r="AA72" i="1"/>
  <c r="AA77" i="1" s="1"/>
  <c r="W72" i="1"/>
  <c r="W77" i="1" s="1"/>
  <c r="D16" i="14" l="1"/>
  <c r="O77" i="1"/>
  <c r="Q72" i="1"/>
  <c r="P77" i="1"/>
  <c r="T72" i="1" l="1"/>
  <c r="T77" i="1" s="1"/>
  <c r="V72" i="1"/>
  <c r="V77" i="1" s="1"/>
  <c r="U72" i="1"/>
  <c r="U77" i="1" s="1"/>
  <c r="S72" i="1"/>
  <c r="S77" i="1" s="1"/>
  <c r="Q77" i="1"/>
  <c r="R72" i="1"/>
  <c r="R77" i="1" s="1"/>
</calcChain>
</file>

<file path=xl/sharedStrings.xml><?xml version="1.0" encoding="utf-8"?>
<sst xmlns="http://schemas.openxmlformats.org/spreadsheetml/2006/main" count="507" uniqueCount="147">
  <si>
    <t>Our Use</t>
  </si>
  <si>
    <t>Jan</t>
  </si>
  <si>
    <t>Dec</t>
  </si>
  <si>
    <t>Feb</t>
  </si>
  <si>
    <t>Mar</t>
  </si>
  <si>
    <t>Average</t>
  </si>
  <si>
    <t>Rate per kWh</t>
  </si>
  <si>
    <t>Zone Hours (Avg/Year)</t>
  </si>
  <si>
    <t>www.wholesalersolar.com</t>
  </si>
  <si>
    <t>Item</t>
  </si>
  <si>
    <t>Price</t>
  </si>
  <si>
    <t>Real</t>
  </si>
  <si>
    <t>Theoretical</t>
  </si>
  <si>
    <t>Output Per Month</t>
  </si>
  <si>
    <t>Watts</t>
  </si>
  <si>
    <t>STC</t>
  </si>
  <si>
    <t>PTC</t>
  </si>
  <si>
    <t># Panels</t>
  </si>
  <si>
    <t>Total Price</t>
  </si>
  <si>
    <t>kWh Reduced</t>
  </si>
  <si>
    <t>Yearly Savings</t>
  </si>
  <si>
    <t># Years Payback</t>
  </si>
  <si>
    <t>Return on Investment</t>
  </si>
  <si>
    <t>HVI</t>
  </si>
  <si>
    <t>HVI=Home Value Increase</t>
  </si>
  <si>
    <t>Initial W/</t>
  </si>
  <si>
    <t>5yr W/</t>
  </si>
  <si>
    <t>10yr W/</t>
  </si>
  <si>
    <t>15yr W/</t>
  </si>
  <si>
    <t>5 w/o</t>
  </si>
  <si>
    <t>10 w/o</t>
  </si>
  <si>
    <t>Solar Power Research</t>
  </si>
  <si>
    <t>*Doesn’t Include Incentives, Includes Panals/interter/amp/cable ext..etc</t>
  </si>
  <si>
    <t>$/Watt</t>
  </si>
  <si>
    <t>http://www.wholesalesolar.com/gridtie.html?gclid=CNmP_Mq05K8CFYd9Ogodaz3-xA</t>
  </si>
  <si>
    <t>SolarEdge Astronergy Grid-tie System 3,525 watts</t>
  </si>
  <si>
    <t>3,525/3,135</t>
  </si>
  <si>
    <t>Not Included**</t>
  </si>
  <si>
    <t>up to 470.25 kWh</t>
  </si>
  <si>
    <t>1 SE 3800</t>
  </si>
  <si>
    <t>SolarEdge Astronergy Grid-tie System 4,700 watts</t>
  </si>
  <si>
    <t>4,700/4,180</t>
  </si>
  <si>
    <t>up to 627.00 kWh</t>
  </si>
  <si>
    <t>1 SE 5000</t>
  </si>
  <si>
    <t>SolarEdge Astronergy Grid-tie System 5,640 watts</t>
  </si>
  <si>
    <t>5,640 / 5,016</t>
  </si>
  <si>
    <t>up to 752.4 kWh</t>
  </si>
  <si>
    <t>1 SE 6000</t>
  </si>
  <si>
    <t>SolarEdge Astronergy Grid-tie System 9,400 watts</t>
  </si>
  <si>
    <t>9,400/8,360</t>
  </si>
  <si>
    <t>up to 1,254 kWh</t>
  </si>
  <si>
    <t>2 SE 5000</t>
  </si>
  <si>
    <t>SolarEdge Astronergy Grid-tie System 11,750 watts</t>
  </si>
  <si>
    <t>11,750/10,450</t>
  </si>
  <si>
    <t>up to 1,567.5 kWh</t>
  </si>
  <si>
    <t>2 SE 6000</t>
  </si>
  <si>
    <t>20yr W/</t>
  </si>
  <si>
    <t>25yr W/</t>
  </si>
  <si>
    <t>15 w/o</t>
  </si>
  <si>
    <t>20 w/o</t>
  </si>
  <si>
    <t>25 w/o</t>
  </si>
  <si>
    <t>Initial Investment</t>
  </si>
  <si>
    <t>yr 1 gain</t>
  </si>
  <si>
    <t># years</t>
  </si>
  <si>
    <t>total gain</t>
  </si>
  <si>
    <t>total worth</t>
  </si>
  <si>
    <t>minus depreciation</t>
  </si>
  <si>
    <t>Net Worth</t>
  </si>
  <si>
    <t>after 10 years 4% int</t>
  </si>
  <si>
    <t>after 20 years 4% int</t>
  </si>
  <si>
    <t>its currently 4.35 %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</si>
  <si>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</si>
  <si>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</si>
  <si>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</si>
  <si>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</si>
  <si>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</si>
  <si>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</si>
  <si>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</si>
  <si>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</si>
  <si>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</si>
  <si>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</si>
  <si>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</si>
  <si>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</si>
  <si>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</si>
  <si>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</si>
  <si>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</si>
  <si>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</si>
  <si>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</si>
  <si>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</si>
  <si>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</si>
  <si>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</si>
  <si>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</si>
  <si>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</si>
  <si>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</si>
  <si>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</si>
  <si>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</t>
  </si>
  <si>
    <t>Column1</t>
  </si>
  <si>
    <t>ROI 10 ye</t>
  </si>
  <si>
    <t>ROI 10 yr by $Watt</t>
  </si>
  <si>
    <t>$/watt by ROI 10 year</t>
  </si>
  <si>
    <t>Watt %</t>
  </si>
  <si>
    <t>Avg ROI per year (25years) Inc Red Eff</t>
  </si>
  <si>
    <t>avg reduction in eff over 25 years</t>
  </si>
  <si>
    <t>Cost of Installation</t>
  </si>
  <si>
    <t>$/watt</t>
  </si>
  <si>
    <t>plus or minus</t>
  </si>
  <si>
    <t>standard error</t>
  </si>
  <si>
    <t>plus</t>
  </si>
  <si>
    <t>minus</t>
  </si>
  <si>
    <t>avg roi per 25</t>
  </si>
  <si>
    <r>
      <t>ROI= ((Rate per KwH*</t>
    </r>
    <r>
      <rPr>
        <b/>
        <sz val="11"/>
        <color theme="1"/>
        <rFont val="Calibri"/>
        <family val="2"/>
        <scheme val="minor"/>
      </rPr>
      <t>Standard Testing Conditions Watts produced</t>
    </r>
    <r>
      <rPr>
        <sz val="11"/>
        <color theme="1"/>
        <rFont val="Calibri"/>
        <family val="2"/>
        <scheme val="minor"/>
      </rPr>
      <t>*Efficiency of Solar Panel*12 months*25 years)-(</t>
    </r>
    <r>
      <rPr>
        <b/>
        <sz val="11"/>
        <color theme="1"/>
        <rFont val="Calibri"/>
        <family val="2"/>
        <scheme val="minor"/>
      </rPr>
      <t xml:space="preserve">price </t>
    </r>
    <r>
      <rPr>
        <sz val="11"/>
        <color theme="1"/>
        <rFont val="Calibri"/>
        <family val="2"/>
        <scheme val="minor"/>
      </rPr>
      <t>+ (#panels*price per panel)/ (</t>
    </r>
    <r>
      <rPr>
        <b/>
        <sz val="11"/>
        <color theme="1"/>
        <rFont val="Calibri"/>
        <family val="2"/>
        <scheme val="minor"/>
      </rPr>
      <t>price</t>
    </r>
    <r>
      <rPr>
        <sz val="11"/>
        <color theme="1"/>
        <rFont val="Calibri"/>
        <family val="2"/>
        <scheme val="minor"/>
      </rPr>
      <t>+ (#panels*price per panel))/25 years)*Average Reduced Efficiency over 25 years</t>
    </r>
  </si>
  <si>
    <t>Effeciency</t>
  </si>
  <si>
    <t>Investment Yields</t>
  </si>
  <si>
    <t>Date</t>
  </si>
  <si>
    <t>1 Mo</t>
  </si>
  <si>
    <t>3 Mo</t>
  </si>
  <si>
    <t>6 Mo</t>
  </si>
  <si>
    <t>1 Yr</t>
  </si>
  <si>
    <t>2 Yr</t>
  </si>
  <si>
    <t>3 Yr</t>
  </si>
  <si>
    <t>5 Yr</t>
  </si>
  <si>
    <t>7 Yr</t>
  </si>
  <si>
    <t>10 Yr</t>
  </si>
  <si>
    <t>20 Yr</t>
  </si>
  <si>
    <t>30 Yr</t>
  </si>
  <si>
    <t>25 yr</t>
  </si>
  <si>
    <t>yearly return, plot price per watt at break even point, graph</t>
  </si>
  <si>
    <t>past sales data and how many people are buying…</t>
  </si>
  <si>
    <t>measurement of the elastcity of supply, can u make and increase price, will it really incrrease price based on demand. How much to make per unit.</t>
  </si>
  <si>
    <t>more beneficial to be early or later adopter, based on how expensive to add output from manufgers</t>
  </si>
  <si>
    <t>NEW</t>
  </si>
  <si>
    <t>STC Watts</t>
  </si>
  <si>
    <t>PTC Watts</t>
  </si>
  <si>
    <t>Real Monthly Output</t>
  </si>
  <si>
    <t>Cell Effeciency</t>
  </si>
  <si>
    <t>Theoretical Monthly Output</t>
  </si>
  <si>
    <t>ROI 1 Yr</t>
  </si>
  <si>
    <t>ROI 5 Yr</t>
  </si>
  <si>
    <t>ROI 10 Yr</t>
  </si>
  <si>
    <t>ROI 25 Yr</t>
  </si>
  <si>
    <t>Avg ROI Per Year (25years) Inc Red Eff</t>
  </si>
  <si>
    <t>Rate Used: $0.11, Average PV Sun Hours per day: 4.5 Hours</t>
  </si>
  <si>
    <t>Table 1: Solar Module Research Results</t>
  </si>
  <si>
    <t>Variables</t>
  </si>
  <si>
    <t>Sun Hours</t>
  </si>
  <si>
    <t>Inputs Here</t>
  </si>
  <si>
    <t>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</si>
</sst>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%"/>
    <numFmt numFmtId="168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6"/>
      <color theme="1"/>
      <name val="Cambria"/>
      <family val="1"/>
      <scheme val="major"/>
    </font>
    <font>
      <sz val="7"/>
      <color rgb="FF000000"/>
      <name val="Arial"/>
      <family val="2"/>
    </font>
    <font>
      <sz val="9"/>
      <color rgb="FF008800"/>
      <name val="Arial"/>
      <family val="2"/>
    </font>
    <font>
      <sz val="11"/>
      <color theme="1"/>
      <name val="Calibri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6" borderId="0" applyNumberFormat="0" applyBorder="0" applyAlignment="0" applyProtection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8" fontId="0" fillId="0" borderId="0" xfId="0" applyNumberFormat="1"/>
    <xf numFmtId="0" fontId="6" fillId="0" borderId="0" xfId="8"/>
    <xf numFmtId="0" fontId="6" fillId="0" borderId="0" xfId="8" applyAlignment="1"/>
    <xf numFmtId="44" fontId="0" fillId="0" borderId="0" xfId="1" applyFont="1"/>
    <xf numFmtId="9" fontId="0" fillId="0" borderId="0" xfId="2" applyFont="1"/>
    <xf numFmtId="4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center" wrapText="1"/>
    </xf>
    <xf numFmtId="44" fontId="0" fillId="0" borderId="0" xfId="0" applyNumberFormat="1"/>
    <xf numFmtId="0" fontId="1" fillId="6" borderId="3" xfId="7" applyBorder="1"/>
    <xf numFmtId="0" fontId="1" fillId="6" borderId="4" xfId="7" applyBorder="1"/>
    <xf numFmtId="0" fontId="1" fillId="6" borderId="5" xfId="7" applyBorder="1"/>
    <xf numFmtId="0" fontId="1" fillId="6" borderId="6" xfId="7" applyBorder="1"/>
    <xf numFmtId="0" fontId="0" fillId="0" borderId="0" xfId="0" applyAlignment="1">
      <alignment horizontal="right" vertical="center" wrapText="1"/>
    </xf>
    <xf numFmtId="0" fontId="3" fillId="3" borderId="0" xfId="4"/>
    <xf numFmtId="0" fontId="4" fillId="4" borderId="0" xfId="5"/>
    <xf numFmtId="8" fontId="4" fillId="4" borderId="0" xfId="5" applyNumberFormat="1"/>
    <xf numFmtId="0" fontId="0" fillId="0" borderId="0" xfId="0" applyNumberFormat="1"/>
    <xf numFmtId="9" fontId="0" fillId="0" borderId="0" xfId="2" applyNumberFormat="1" applyFont="1"/>
    <xf numFmtId="0" fontId="6" fillId="7" borderId="0" xfId="8" applyFill="1" applyAlignment="1">
      <alignment horizontal="left" vertical="center" wrapText="1"/>
    </xf>
    <xf numFmtId="0" fontId="8" fillId="7" borderId="0" xfId="0" applyFont="1" applyFill="1" applyAlignment="1">
      <alignment horizontal="center" vertical="center" wrapText="1"/>
    </xf>
    <xf numFmtId="0" fontId="0" fillId="7" borderId="0" xfId="0" applyFill="1" applyAlignment="1">
      <alignment horizontal="right" vertical="center" wrapText="1"/>
    </xf>
    <xf numFmtId="8" fontId="9" fillId="7" borderId="0" xfId="0" applyNumberFormat="1" applyFont="1" applyFill="1" applyAlignment="1">
      <alignment horizontal="center" vertical="center" wrapText="1"/>
    </xf>
    <xf numFmtId="6" fontId="9" fillId="7" borderId="0" xfId="0" applyNumberFormat="1" applyFont="1" applyFill="1" applyAlignment="1">
      <alignment horizontal="center" vertical="center" wrapText="1"/>
    </xf>
    <xf numFmtId="0" fontId="2" fillId="2" borderId="0" xfId="3"/>
    <xf numFmtId="44" fontId="10" fillId="0" borderId="0" xfId="1" applyFont="1"/>
    <xf numFmtId="9" fontId="10" fillId="0" borderId="0" xfId="2" applyNumberFormat="1" applyFont="1"/>
    <xf numFmtId="44" fontId="10" fillId="0" borderId="0" xfId="1" applyNumberFormat="1" applyFont="1"/>
    <xf numFmtId="10" fontId="0" fillId="0" borderId="0" xfId="2" applyNumberFormat="1" applyFont="1"/>
    <xf numFmtId="0" fontId="0" fillId="0" borderId="0" xfId="0" applyFill="1" applyBorder="1" applyAlignment="1"/>
    <xf numFmtId="0" fontId="0" fillId="0" borderId="7" xfId="0" applyFill="1" applyBorder="1" applyAlignment="1"/>
    <xf numFmtId="0" fontId="11" fillId="0" borderId="8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Continuous"/>
    </xf>
    <xf numFmtId="9" fontId="0" fillId="0" borderId="0" xfId="2" applyFont="1" applyAlignment="1">
      <alignment wrapText="1"/>
    </xf>
    <xf numFmtId="9" fontId="0" fillId="0" borderId="0" xfId="0" applyNumberFormat="1"/>
    <xf numFmtId="0" fontId="12" fillId="0" borderId="0" xfId="0" applyFont="1"/>
    <xf numFmtId="165" fontId="0" fillId="0" borderId="0" xfId="2" applyNumberFormat="1" applyFont="1"/>
    <xf numFmtId="165" fontId="12" fillId="0" borderId="0" xfId="2" applyNumberFormat="1" applyFont="1"/>
    <xf numFmtId="10" fontId="12" fillId="0" borderId="0" xfId="2" applyNumberFormat="1" applyFont="1"/>
    <xf numFmtId="0" fontId="0" fillId="0" borderId="0" xfId="0" applyAlignment="1">
      <alignment vertical="center"/>
    </xf>
    <xf numFmtId="44" fontId="0" fillId="0" borderId="0" xfId="0" applyNumberFormat="1" applyFont="1"/>
    <xf numFmtId="9" fontId="0" fillId="0" borderId="0" xfId="0" applyNumberFormat="1" applyFont="1"/>
    <xf numFmtId="0" fontId="0" fillId="0" borderId="0" xfId="0" applyFont="1"/>
    <xf numFmtId="165" fontId="4" fillId="4" borderId="0" xfId="2" applyNumberFormat="1" applyFont="1" applyFill="1"/>
    <xf numFmtId="14" fontId="0" fillId="0" borderId="0" xfId="0" applyNumberFormat="1"/>
    <xf numFmtId="0" fontId="13" fillId="0" borderId="0" xfId="0" applyFont="1"/>
    <xf numFmtId="0" fontId="14" fillId="0" borderId="0" xfId="0" applyFont="1"/>
    <xf numFmtId="10" fontId="0" fillId="0" borderId="0" xfId="0" applyNumberFormat="1"/>
    <xf numFmtId="44" fontId="0" fillId="0" borderId="0" xfId="1" applyFont="1" applyAlignment="1">
      <alignment horizontal="right" vertical="center" wrapText="1"/>
    </xf>
    <xf numFmtId="0" fontId="12" fillId="0" borderId="0" xfId="0" applyFont="1" applyFill="1" applyBorder="1" applyAlignment="1"/>
    <xf numFmtId="43" fontId="0" fillId="0" borderId="0" xfId="9" applyFont="1"/>
    <xf numFmtId="0" fontId="12" fillId="0" borderId="0" xfId="0" applyFont="1" applyAlignment="1">
      <alignment wrapText="1"/>
    </xf>
    <xf numFmtId="44" fontId="0" fillId="0" borderId="0" xfId="2" applyNumberFormat="1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5" borderId="0" xfId="6" applyAlignment="1">
      <alignment horizontal="center"/>
    </xf>
    <xf numFmtId="0" fontId="0" fillId="0" borderId="0" xfId="0" applyAlignment="1">
      <alignment horizontal="right"/>
    </xf>
    <xf numFmtId="0" fontId="1" fillId="6" borderId="1" xfId="7" applyBorder="1" applyAlignment="1">
      <alignment horizontal="center"/>
    </xf>
    <xf numFmtId="0" fontId="1" fillId="6" borderId="2" xfId="7" applyBorder="1" applyAlignment="1">
      <alignment horizontal="center"/>
    </xf>
    <xf numFmtId="0" fontId="15" fillId="0" borderId="0" xfId="0" applyFont="1" applyAlignment="1">
      <alignment horizontal="center"/>
    </xf>
    <xf numFmtId="168" fontId="0" fillId="0" borderId="0" xfId="9" applyNumberFormat="1" applyFont="1"/>
    <xf numFmtId="6" fontId="0" fillId="0" borderId="0" xfId="0" applyNumberFormat="1"/>
    <xf numFmtId="0" fontId="12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</cellXfs>
  <cellStyles count="10">
    <cellStyle name="40% - Accent3" xfId="7" builtinId="39"/>
    <cellStyle name="Accent3" xfId="6" builtinId="37"/>
    <cellStyle name="Bad" xfId="4" builtinId="27"/>
    <cellStyle name="Comma" xfId="9" builtinId="3"/>
    <cellStyle name="Currency" xfId="1" builtinId="4"/>
    <cellStyle name="Good" xfId="3" builtinId="26"/>
    <cellStyle name="Hyperlink" xfId="8" builtinId="8"/>
    <cellStyle name="Neutral" xfId="5" builtinId="28"/>
    <cellStyle name="Normal" xfId="0" builtinId="0"/>
    <cellStyle name="Percent" xfId="2" builtinId="5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(&quot;$&quot;* #,##0.00_);_(&quot;$&quot;* \(#,##0.00\);_(&quot;$&quot;* &quot;-&quot;??_);_(@_)"/>
    </dxf>
    <dxf>
      <numFmt numFmtId="0" formatCode="General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3" formatCode="0%"/>
    </dxf>
    <dxf>
      <numFmt numFmtId="0" formatCode="General"/>
    </dxf>
    <dxf>
      <numFmt numFmtId="14" formatCode="0.00%"/>
    </dxf>
    <dxf>
      <numFmt numFmtId="13" formatCode="0%"/>
    </dxf>
    <dxf>
      <numFmt numFmtId="13" formatCode="0%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</dxf>
    <dxf>
      <numFmt numFmtId="165" formatCode="0.0%"/>
    </dxf>
    <dxf>
      <numFmt numFmtId="12" formatCode="&quot;$&quot;#,##0.00_);[Red]\(&quot;$&quot;#,##0.00\)"/>
    </dxf>
    <dxf>
      <numFmt numFmtId="12" formatCode="&quot;$&quot;#,##0.00_);[Red]\(&quot;$&quot;#,##0.00\)"/>
    </dxf>
    <dxf>
      <alignment horizontal="general" vertical="bottom" textRotation="0" wrapText="1" indent="0" justifyLastLine="0" shrinkToFit="0" readingOrder="0"/>
    </dxf>
    <dxf>
      <font>
        <b/>
        <i/>
        <strike val="0"/>
      </font>
    </dxf>
    <dxf>
      <font>
        <b/>
        <i val="0"/>
        <color theme="6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ROI per Watt Price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ROI per Watt</c:v>
          </c:tx>
          <c:spPr>
            <a:ln w="28575">
              <a:noFill/>
            </a:ln>
          </c:spPr>
          <c:xVal>
            <c:numRef>
              <c:f>'Predict Your Data'!$E$3:$E$10</c:f>
              <c:numCache>
                <c:formatCode>"$"#,##0.00_);[Red]\("$"#,##0.00\)</c:formatCode>
                <c:ptCount val="8"/>
                <c:pt idx="0">
                  <c:v>1.1363636363636365</c:v>
                </c:pt>
                <c:pt idx="1">
                  <c:v>1.8115942028985508</c:v>
                </c:pt>
                <c:pt idx="2">
                  <c:v>1.6666666666666667</c:v>
                </c:pt>
                <c:pt idx="3">
                  <c:v>1.0714285714285714</c:v>
                </c:pt>
                <c:pt idx="4">
                  <c:v>1</c:v>
                </c:pt>
                <c:pt idx="5">
                  <c:v>0.9375</c:v>
                </c:pt>
                <c:pt idx="6">
                  <c:v>0.88235294117647056</c:v>
                </c:pt>
                <c:pt idx="7">
                  <c:v>0.83333333333333337</c:v>
                </c:pt>
              </c:numCache>
            </c:numRef>
          </c:xVal>
          <c:yVal>
            <c:numRef>
              <c:f>'Predict Your Data'!$I$12:$I$19</c:f>
              <c:numCache>
                <c:formatCode>0.00%</c:formatCode>
                <c:ptCount val="8"/>
                <c:pt idx="0">
                  <c:v>6.6375041353142858E-2</c:v>
                </c:pt>
                <c:pt idx="1">
                  <c:v>2.8307718666971435E-2</c:v>
                </c:pt>
                <c:pt idx="2">
                  <c:v>3.3878546377142861E-2</c:v>
                </c:pt>
                <c:pt idx="3">
                  <c:v>7.2166608559999998E-2</c:v>
                </c:pt>
                <c:pt idx="4">
                  <c:v>8.0302110628571496E-2</c:v>
                </c:pt>
                <c:pt idx="5">
                  <c:v>8.8039371337142874E-2</c:v>
                </c:pt>
                <c:pt idx="6">
                  <c:v>9.5776632045714294E-2</c:v>
                </c:pt>
                <c:pt idx="7">
                  <c:v>0.10351389275428571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500096"/>
        <c:axId val="104423808"/>
      </c:scatterChart>
      <c:valAx>
        <c:axId val="90500096"/>
        <c:scaling>
          <c:orientation val="minMax"/>
        </c:scaling>
        <c:delete val="0"/>
        <c:axPos val="b"/>
        <c:numFmt formatCode="&quot;$&quot;#,##0.00_);[Red]\(&quot;$&quot;#,##0.00\)" sourceLinked="1"/>
        <c:majorTickMark val="out"/>
        <c:minorTickMark val="none"/>
        <c:tickLblPos val="nextTo"/>
        <c:crossAx val="104423808"/>
        <c:crosses val="autoZero"/>
        <c:crossBetween val="midCat"/>
      </c:valAx>
      <c:valAx>
        <c:axId val="1044238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905000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Watt Price per ROI</c:v>
          </c:tx>
          <c:spPr>
            <a:ln w="28575">
              <a:noFill/>
            </a:ln>
          </c:spPr>
          <c:xVal>
            <c:numRef>
              <c:f>'Predict Your Data'!$I$12:$I$19</c:f>
              <c:numCache>
                <c:formatCode>0.00%</c:formatCode>
                <c:ptCount val="8"/>
                <c:pt idx="0">
                  <c:v>6.6375041353142858E-2</c:v>
                </c:pt>
                <c:pt idx="1">
                  <c:v>2.8307718666971435E-2</c:v>
                </c:pt>
                <c:pt idx="2">
                  <c:v>3.3878546377142861E-2</c:v>
                </c:pt>
                <c:pt idx="3">
                  <c:v>7.2166608559999998E-2</c:v>
                </c:pt>
                <c:pt idx="4">
                  <c:v>8.0302110628571496E-2</c:v>
                </c:pt>
                <c:pt idx="5">
                  <c:v>8.8039371337142874E-2</c:v>
                </c:pt>
                <c:pt idx="6">
                  <c:v>9.5776632045714294E-2</c:v>
                </c:pt>
                <c:pt idx="7">
                  <c:v>0.10351389275428571</c:v>
                </c:pt>
              </c:numCache>
            </c:numRef>
          </c:xVal>
          <c:yVal>
            <c:numRef>
              <c:f>'Predict Your Data'!$E$3:$E$10</c:f>
              <c:numCache>
                <c:formatCode>"$"#,##0.00_);[Red]\("$"#,##0.00\)</c:formatCode>
                <c:ptCount val="8"/>
                <c:pt idx="0">
                  <c:v>1.1363636363636365</c:v>
                </c:pt>
                <c:pt idx="1">
                  <c:v>1.8115942028985508</c:v>
                </c:pt>
                <c:pt idx="2">
                  <c:v>1.6666666666666667</c:v>
                </c:pt>
                <c:pt idx="3">
                  <c:v>1.0714285714285714</c:v>
                </c:pt>
                <c:pt idx="4">
                  <c:v>1</c:v>
                </c:pt>
                <c:pt idx="5">
                  <c:v>0.9375</c:v>
                </c:pt>
                <c:pt idx="6">
                  <c:v>0.88235294117647056</c:v>
                </c:pt>
                <c:pt idx="7">
                  <c:v>0.83333333333333337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49024"/>
        <c:axId val="103713024"/>
      </c:scatterChart>
      <c:valAx>
        <c:axId val="90449024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03713024"/>
        <c:crosses val="autoZero"/>
        <c:crossBetween val="midCat"/>
      </c:valAx>
      <c:valAx>
        <c:axId val="103713024"/>
        <c:scaling>
          <c:orientation val="minMax"/>
        </c:scaling>
        <c:delete val="0"/>
        <c:axPos val="l"/>
        <c:majorGridlines/>
        <c:numFmt formatCode="&quot;$&quot;#,##0.00_);[Red]\(&quot;$&quot;#,##0.00\)" sourceLinked="1"/>
        <c:majorTickMark val="out"/>
        <c:minorTickMark val="none"/>
        <c:tickLblPos val="nextTo"/>
        <c:crossAx val="904490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85725</xdr:rowOff>
    </xdr:from>
    <xdr:to>
      <xdr:col>7</xdr:col>
      <xdr:colOff>428625</xdr:colOff>
      <xdr:row>14</xdr:row>
      <xdr:rowOff>9525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95250</xdr:colOff>
      <xdr:row>0</xdr:row>
      <xdr:rowOff>142875</xdr:rowOff>
    </xdr:from>
    <xdr:to>
      <xdr:col>15</xdr:col>
      <xdr:colOff>400050</xdr:colOff>
      <xdr:row>15</xdr:row>
      <xdr:rowOff>23814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L2:M4" totalsRowShown="0" headerRowCellStyle="Normal" dataCellStyle="Normal">
  <autoFilter ref="L2:M4"/>
  <tableColumns count="2">
    <tableColumn id="1" name="Variables" dataCellStyle="Normal"/>
    <tableColumn id="2" name="Inputs Here" dataCellStyle="Normal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C6:AH77" totalsRowCount="1" headerRowDxfId="51">
  <autoFilter ref="C6:AH76"/>
  <sortState ref="C7:AA67">
    <sortCondition descending="1" ref="L6:L67"/>
  </sortState>
  <tableColumns count="32">
    <tableColumn id="1" name="Item" totalsRowFunction="custom">
      <totalsRowFormula>Sheet2!I3</totalsRowFormula>
    </tableColumn>
    <tableColumn id="2" name="Price" totalsRowFunction="custom" dataDxfId="50" totalsRowDxfId="25">
      <totalsRowFormula>Sheet2!K3</totalsRowFormula>
    </tableColumn>
    <tableColumn id="3" name="STC Watts" totalsRowFunction="average"/>
    <tableColumn id="4" name="PTC Watts" totalsRowFunction="average"/>
    <tableColumn id="5" name="$/Watt" totalsRowFunction="average" dataDxfId="49" totalsRowDxfId="24">
      <calculatedColumnFormula>Table3[[#This Row],[Price]]/Table3[[#This Row],[STC Watts]]</calculatedColumnFormula>
    </tableColumn>
    <tableColumn id="6" name="Theoretical Monthly Output" totalsRowFunction="average"/>
    <tableColumn id="32" name="Cell Effeciency" dataDxfId="48" dataCellStyle="Percent">
      <calculatedColumnFormula>Table3[[#This Row],[Theoretical Monthly Output]]/Table3[[#This Row],[STC Watts]]</calculatedColumnFormula>
    </tableColumn>
    <tableColumn id="7" name="Real Monthly Output" totalsRowFunction="average" dataDxfId="47" totalsRowDxfId="23">
      <calculatedColumnFormula>((H7*$D$3)/5)*(Table3[[#This Row],[PTC Watts]]/Table3[[#This Row],[STC Watts]])</calculatedColumnFormula>
    </tableColumn>
    <tableColumn id="8" name="# Panels" totalsRowFunction="custom">
      <totalsRowFormula>Sheet2!G3</totalsRowFormula>
    </tableColumn>
    <tableColumn id="9" name="Total Price" totalsRowFunction="average" dataDxfId="46" totalsRowDxfId="22" dataCellStyle="Currency">
      <calculatedColumnFormula>D7+(K7*75)</calculatedColumnFormula>
    </tableColumn>
    <tableColumn id="10" name="kWh Reduced" totalsRowFunction="average" dataDxfId="45" totalsRowDxfId="21" dataCellStyle="Percent">
      <calculatedColumnFormula>J7/$B$10</calculatedColumnFormula>
    </tableColumn>
    <tableColumn id="11" name="Yearly Savings" totalsRowFunction="average" dataDxfId="44" totalsRowDxfId="20" dataCellStyle="Currency">
      <calculatedColumnFormula>($B$10*$D$2*12)*M7</calculatedColumnFormula>
    </tableColumn>
    <tableColumn id="12" name="# Years Payback" totalsRowFunction="average" dataDxfId="43" totalsRowDxfId="19">
      <calculatedColumnFormula>L7/N7</calculatedColumnFormula>
    </tableColumn>
    <tableColumn id="13" name="HVI" totalsRowFunction="average" dataDxfId="42" totalsRowDxfId="18">
      <calculatedColumnFormula>N7*20</calculatedColumnFormula>
    </tableColumn>
    <tableColumn id="14" name="Initial W/" totalsRowFunction="average" dataDxfId="41" totalsRowDxfId="17">
      <calculatedColumnFormula>P7-L7</calculatedColumnFormula>
    </tableColumn>
    <tableColumn id="15" name="5yr W/" totalsRowFunction="average" dataDxfId="40" totalsRowDxfId="16">
      <calculatedColumnFormula>Q7+(N7*5)</calculatedColumnFormula>
    </tableColumn>
    <tableColumn id="16" name="10yr W/" totalsRowFunction="average" dataDxfId="39" totalsRowDxfId="15">
      <calculatedColumnFormula>Q7+(N7*10)</calculatedColumnFormula>
    </tableColumn>
    <tableColumn id="19" name="15yr W/" totalsRowFunction="average" dataDxfId="38" totalsRowDxfId="14">
      <calculatedColumnFormula>Q7+(N7*15)</calculatedColumnFormula>
    </tableColumn>
    <tableColumn id="20" name="20yr W/" totalsRowFunction="average" dataDxfId="37" totalsRowDxfId="13">
      <calculatedColumnFormula>Q7+(N7*20)</calculatedColumnFormula>
    </tableColumn>
    <tableColumn id="21" name="25yr W/" totalsRowFunction="average" dataDxfId="36" totalsRowDxfId="12">
      <calculatedColumnFormula>Q7+(N7*25)</calculatedColumnFormula>
    </tableColumn>
    <tableColumn id="17" name="5 w/o" totalsRowFunction="average" dataDxfId="35" totalsRowDxfId="11">
      <calculatedColumnFormula>(N7*5)-L7</calculatedColumnFormula>
    </tableColumn>
    <tableColumn id="18" name="10 w/o" totalsRowFunction="average" dataDxfId="34" totalsRowDxfId="10">
      <calculatedColumnFormula>(N7*10)-L7</calculatedColumnFormula>
    </tableColumn>
    <tableColumn id="22" name="15 w/o" totalsRowFunction="average" dataDxfId="33" totalsRowDxfId="9">
      <calculatedColumnFormula>(N7*15)-L7</calculatedColumnFormula>
    </tableColumn>
    <tableColumn id="23" name="20 w/o" totalsRowFunction="average" dataDxfId="32" totalsRowDxfId="8">
      <calculatedColumnFormula>(N7*20)-L7</calculatedColumnFormula>
    </tableColumn>
    <tableColumn id="24" name="25 w/o" totalsRowFunction="average" dataDxfId="31" totalsRowDxfId="7">
      <calculatedColumnFormula>(N7*25)-L7</calculatedColumnFormula>
    </tableColumn>
    <tableColumn id="25" name="ROI 1 Yr" dataDxfId="30" totalsRowDxfId="6" dataCellStyle="Percent">
      <calculatedColumnFormula>(N7-L7)/L7</calculatedColumnFormula>
    </tableColumn>
    <tableColumn id="26" name="ROI 5 Yr" dataDxfId="29" totalsRowDxfId="5" dataCellStyle="Percent">
      <calculatedColumnFormula>(($N7*5)-$L7)/$L7</calculatedColumnFormula>
    </tableColumn>
    <tableColumn id="27" name="ROI 10 Yr" totalsRowDxfId="4" dataCellStyle="Percent">
      <calculatedColumnFormula>(($N7*10)-$L7)/$L7</calculatedColumnFormula>
    </tableColumn>
    <tableColumn id="28" name="ROI 25 Yr" totalsRowDxfId="3" dataCellStyle="Percent">
      <calculatedColumnFormula>(($N7*25)-$L7)/$L7</calculatedColumnFormula>
    </tableColumn>
    <tableColumn id="29" name="Avg ROI Per Year (25years) Inc Red Eff" dataDxfId="28" totalsRowDxfId="2">
      <calculatedColumnFormula>(((($N7*25)-$L7)/$L7)/25)*(0.89392)</calculatedColumnFormula>
    </tableColumn>
    <tableColumn id="30" name="Watt %" totalsRowFunction="average" dataDxfId="27" totalsRowDxfId="1">
      <calculatedColumnFormula>F7/E7</calculatedColumnFormula>
    </tableColumn>
    <tableColumn id="31" name="Column1" dataDxfId="26" totalsRow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wholesalesolar.com/gridtie.html?gclid=CNmP_Mq05K8CFYd9Ogodaz3-x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holesalesolar.com/system/solaredge-30-astronergy-panel-gridtie-system.html" TargetMode="External"/><Relationship Id="rId2" Type="http://schemas.openxmlformats.org/officeDocument/2006/relationships/hyperlink" Target="http://www.wholesalesolar.com/system/solaredge-20-astronergy-panel-gridtie-system.html" TargetMode="External"/><Relationship Id="rId1" Type="http://schemas.openxmlformats.org/officeDocument/2006/relationships/hyperlink" Target="http://www.wholesalesolar.com/system/solaredge-15-astronergy-panel-gridtie-system.html" TargetMode="External"/><Relationship Id="rId5" Type="http://schemas.openxmlformats.org/officeDocument/2006/relationships/hyperlink" Target="http://www.wholesalesolar.com/system/solaredge-50-astronergy-panel-gridtie-system.html" TargetMode="External"/><Relationship Id="rId4" Type="http://schemas.openxmlformats.org/officeDocument/2006/relationships/hyperlink" Target="http://www.wholesalesolar.com/system/solaredge-40-astronergy-panel-gridtie-system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T20"/>
  <sheetViews>
    <sheetView tabSelected="1" workbookViewId="0">
      <selection activeCell="K14" sqref="K14"/>
    </sheetView>
  </sheetViews>
  <sheetFormatPr defaultRowHeight="15" x14ac:dyDescent="0.25"/>
  <cols>
    <col min="1" max="1" width="2" bestFit="1" customWidth="1"/>
    <col min="2" max="2" width="8.5703125" customWidth="1"/>
    <col min="3" max="3" width="10" customWidth="1"/>
    <col min="4" max="4" width="10.28515625" customWidth="1"/>
    <col min="5" max="5" width="8" customWidth="1"/>
    <col min="6" max="6" width="10.7109375" customWidth="1"/>
    <col min="7" max="7" width="10.140625" customWidth="1"/>
    <col min="8" max="8" width="9" customWidth="1"/>
    <col min="9" max="9" width="9.42578125" customWidth="1"/>
    <col min="10" max="10" width="10.5703125" customWidth="1"/>
    <col min="11" max="11" width="13.28515625" bestFit="1" customWidth="1"/>
    <col min="12" max="12" width="13.5703125" bestFit="1" customWidth="1"/>
    <col min="13" max="13" width="14.85546875" bestFit="1" customWidth="1"/>
    <col min="14" max="14" width="7.28515625" bestFit="1" customWidth="1"/>
    <col min="15" max="15" width="7.7109375" bestFit="1" customWidth="1"/>
    <col min="17" max="17" width="8.7109375" bestFit="1" customWidth="1"/>
    <col min="18" max="18" width="34.7109375" bestFit="1" customWidth="1"/>
    <col min="19" max="19" width="4.5703125" bestFit="1" customWidth="1"/>
    <col min="20" max="20" width="3.5703125" bestFit="1" customWidth="1"/>
  </cols>
  <sheetData>
    <row r="1" spans="1:20" ht="21" x14ac:dyDescent="0.35">
      <c r="A1" s="63" t="s">
        <v>142</v>
      </c>
      <c r="B1" s="63"/>
      <c r="C1" s="63"/>
      <c r="D1" s="63"/>
      <c r="E1" s="63"/>
      <c r="F1" s="63"/>
      <c r="G1" s="63"/>
      <c r="H1" s="63"/>
      <c r="I1" s="63"/>
      <c r="J1" s="63"/>
    </row>
    <row r="2" spans="1:20" ht="44.25" customHeight="1" x14ac:dyDescent="0.25">
      <c r="B2" s="38" t="str">
        <f>Table3[[#Headers],[Price]]</f>
        <v>Price</v>
      </c>
      <c r="C2" s="38" t="str">
        <f>Table3[[#Headers],[STC Watts]]</f>
        <v>STC Watts</v>
      </c>
      <c r="D2" s="38" t="str">
        <f>Table3[[#Headers],[PTC Watts]]</f>
        <v>PTC Watts</v>
      </c>
      <c r="E2" s="38" t="str">
        <f>Table3[[#Headers],[$/Watt]]</f>
        <v>$/Watt</v>
      </c>
      <c r="F2" s="54" t="str">
        <f>Table3[[#Headers],[Theoretical Monthly Output]]</f>
        <v>Theoretical Monthly Output</v>
      </c>
      <c r="G2" s="54" t="str">
        <f>Table3[[#Headers],[Cell Effeciency]]</f>
        <v>Cell Effeciency</v>
      </c>
      <c r="H2" s="54" t="str">
        <f>Table3[[#Headers],[Real Monthly Output]]</f>
        <v>Real Monthly Output</v>
      </c>
      <c r="I2" s="38" t="str">
        <f>Table3[[#Headers],['# Panels]]</f>
        <v># Panels</v>
      </c>
      <c r="J2" s="38" t="str">
        <f>Table3[[#Headers],[Total Price]]</f>
        <v>Total Price</v>
      </c>
      <c r="L2" t="s">
        <v>143</v>
      </c>
      <c r="M2" t="s">
        <v>145</v>
      </c>
    </row>
    <row r="3" spans="1:20" x14ac:dyDescent="0.25">
      <c r="A3">
        <v>1</v>
      </c>
      <c r="B3" s="65">
        <f>'Data Analysis'!D68</f>
        <v>15000</v>
      </c>
      <c r="C3" s="64">
        <f>'Data Analysis'!E68</f>
        <v>13200</v>
      </c>
      <c r="D3" s="64">
        <f>'Data Analysis'!F68</f>
        <v>11880</v>
      </c>
      <c r="E3" s="3">
        <f>'Data Analysis'!G68</f>
        <v>1.1363636363636365</v>
      </c>
      <c r="F3" s="64">
        <f>'Data Analysis'!H68</f>
        <v>1795.2</v>
      </c>
      <c r="G3" s="7">
        <f>'Data Analysis'!I68</f>
        <v>0.13600000000000001</v>
      </c>
      <c r="H3" s="64">
        <f>'Data Analysis'!J68</f>
        <v>1454.1120000000001</v>
      </c>
      <c r="I3" s="64">
        <f>'Data Analysis'!K68</f>
        <v>24</v>
      </c>
      <c r="J3" s="3">
        <f>'Data Analysis'!L68</f>
        <v>16800</v>
      </c>
      <c r="L3">
        <v>0.11</v>
      </c>
      <c r="M3" t="s">
        <v>146</v>
      </c>
      <c r="S3" s="37"/>
      <c r="T3" s="37"/>
    </row>
    <row r="4" spans="1:20" x14ac:dyDescent="0.25">
      <c r="A4">
        <v>2</v>
      </c>
      <c r="B4" s="65">
        <f>'Data Analysis'!D69</f>
        <v>15000</v>
      </c>
      <c r="C4" s="64">
        <f>'Data Analysis'!E69</f>
        <v>8280</v>
      </c>
      <c r="D4" s="64">
        <f>'Data Analysis'!F69</f>
        <v>7452</v>
      </c>
      <c r="E4" s="3">
        <f>'Data Analysis'!G69</f>
        <v>1.8115942028985508</v>
      </c>
      <c r="F4" s="64">
        <f>'Data Analysis'!H69</f>
        <v>1126.0800000000002</v>
      </c>
      <c r="G4" s="7">
        <f>'Data Analysis'!I69</f>
        <v>0.13600000000000001</v>
      </c>
      <c r="H4" s="64">
        <f>'Data Analysis'!J69</f>
        <v>912.12480000000005</v>
      </c>
      <c r="I4" s="64">
        <f>'Data Analysis'!K69</f>
        <v>24</v>
      </c>
      <c r="J4" s="3">
        <f>'Data Analysis'!L69</f>
        <v>16800</v>
      </c>
      <c r="L4">
        <v>4.5</v>
      </c>
      <c r="M4" t="s">
        <v>144</v>
      </c>
      <c r="S4" s="37"/>
      <c r="T4" s="37"/>
    </row>
    <row r="5" spans="1:20" x14ac:dyDescent="0.25">
      <c r="A5">
        <v>3</v>
      </c>
      <c r="B5" s="65">
        <f>'Data Analysis'!D70</f>
        <v>15000</v>
      </c>
      <c r="C5" s="64">
        <f>'Data Analysis'!E70</f>
        <v>9000</v>
      </c>
      <c r="D5" s="64">
        <f>'Data Analysis'!F70</f>
        <v>8100</v>
      </c>
      <c r="E5" s="3">
        <f>'Data Analysis'!G70</f>
        <v>1.6666666666666667</v>
      </c>
      <c r="F5" s="64">
        <f>'Data Analysis'!H70</f>
        <v>1224</v>
      </c>
      <c r="G5" s="7">
        <f>'Data Analysis'!I70</f>
        <v>0.13600000000000001</v>
      </c>
      <c r="H5" s="64">
        <f>'Data Analysis'!J70</f>
        <v>991.43999999999994</v>
      </c>
      <c r="I5" s="64">
        <f>'Data Analysis'!K70</f>
        <v>24</v>
      </c>
      <c r="J5" s="3">
        <f>'Data Analysis'!L70</f>
        <v>16800</v>
      </c>
      <c r="S5" s="37"/>
      <c r="T5" s="37"/>
    </row>
    <row r="6" spans="1:20" x14ac:dyDescent="0.25">
      <c r="A6">
        <v>4</v>
      </c>
      <c r="B6" s="65">
        <f>'Data Analysis'!D71</f>
        <v>15000</v>
      </c>
      <c r="C6" s="64">
        <f>'Data Analysis'!E71</f>
        <v>14000</v>
      </c>
      <c r="D6" s="64">
        <f>'Data Analysis'!F71</f>
        <v>12600</v>
      </c>
      <c r="E6" s="3">
        <f>'Data Analysis'!G71</f>
        <v>1.0714285714285714</v>
      </c>
      <c r="F6" s="64">
        <f>'Data Analysis'!H71</f>
        <v>1897</v>
      </c>
      <c r="G6" s="7">
        <f>'Data Analysis'!I71</f>
        <v>0.13550000000000001</v>
      </c>
      <c r="H6" s="64">
        <f>'Data Analysis'!J71</f>
        <v>1536.57</v>
      </c>
      <c r="I6" s="64">
        <f>'Data Analysis'!K71</f>
        <v>24</v>
      </c>
      <c r="J6" s="3">
        <f>'Data Analysis'!L71</f>
        <v>16800</v>
      </c>
      <c r="S6" s="37"/>
      <c r="T6" s="37"/>
    </row>
    <row r="7" spans="1:20" ht="14.25" customHeight="1" x14ac:dyDescent="0.25">
      <c r="A7">
        <v>5</v>
      </c>
      <c r="B7" s="65">
        <f>'Data Analysis'!D72</f>
        <v>15000</v>
      </c>
      <c r="C7" s="64">
        <f>'Data Analysis'!E72</f>
        <v>15000</v>
      </c>
      <c r="D7" s="64">
        <f>'Data Analysis'!F72</f>
        <v>13500</v>
      </c>
      <c r="E7" s="3">
        <f>'Data Analysis'!G72</f>
        <v>1</v>
      </c>
      <c r="F7" s="64">
        <f>'Data Analysis'!H72</f>
        <v>2040.0000000000002</v>
      </c>
      <c r="G7" s="7">
        <f>'Data Analysis'!I72</f>
        <v>0.13600000000000001</v>
      </c>
      <c r="H7" s="64">
        <f>'Data Analysis'!J72</f>
        <v>1652.4000000000005</v>
      </c>
      <c r="I7" s="64">
        <f>'Data Analysis'!K72</f>
        <v>24</v>
      </c>
      <c r="J7" s="3">
        <f>'Data Analysis'!L72</f>
        <v>16800</v>
      </c>
      <c r="S7" s="37"/>
      <c r="T7" s="37"/>
    </row>
    <row r="8" spans="1:20" x14ac:dyDescent="0.25">
      <c r="A8">
        <v>6</v>
      </c>
      <c r="B8" s="65">
        <f>'Data Analysis'!D73</f>
        <v>15000</v>
      </c>
      <c r="C8" s="64">
        <f>'Data Analysis'!E73</f>
        <v>16000</v>
      </c>
      <c r="D8" s="64">
        <f>'Data Analysis'!F73</f>
        <v>14400</v>
      </c>
      <c r="E8" s="3">
        <f>'Data Analysis'!G73</f>
        <v>0.9375</v>
      </c>
      <c r="F8" s="64">
        <f>'Data Analysis'!H73</f>
        <v>2176</v>
      </c>
      <c r="G8" s="7">
        <f>'Data Analysis'!I73</f>
        <v>0.13600000000000001</v>
      </c>
      <c r="H8" s="64">
        <f>'Data Analysis'!J73</f>
        <v>1762.5600000000002</v>
      </c>
      <c r="I8" s="64">
        <f>'Data Analysis'!K73</f>
        <v>24</v>
      </c>
      <c r="J8" s="3">
        <f>'Data Analysis'!L73</f>
        <v>16800</v>
      </c>
      <c r="S8" s="37"/>
      <c r="T8" s="37"/>
    </row>
    <row r="9" spans="1:20" x14ac:dyDescent="0.25">
      <c r="A9">
        <v>7</v>
      </c>
      <c r="B9" s="65">
        <f>'Data Analysis'!D74</f>
        <v>15000</v>
      </c>
      <c r="C9" s="64">
        <f>'Data Analysis'!E74</f>
        <v>17000</v>
      </c>
      <c r="D9" s="64">
        <f>'Data Analysis'!F74</f>
        <v>15300</v>
      </c>
      <c r="E9" s="3">
        <f>'Data Analysis'!G74</f>
        <v>0.88235294117647056</v>
      </c>
      <c r="F9" s="64">
        <f>'Data Analysis'!H74</f>
        <v>2312</v>
      </c>
      <c r="G9" s="7">
        <f>'Data Analysis'!I74</f>
        <v>0.13600000000000001</v>
      </c>
      <c r="H9" s="64">
        <f>'Data Analysis'!J74</f>
        <v>1872.7200000000003</v>
      </c>
      <c r="I9" s="64">
        <f>'Data Analysis'!K74</f>
        <v>24</v>
      </c>
      <c r="J9" s="3">
        <f>'Data Analysis'!L74</f>
        <v>16800</v>
      </c>
      <c r="S9" s="37"/>
      <c r="T9" s="37"/>
    </row>
    <row r="10" spans="1:20" x14ac:dyDescent="0.25">
      <c r="A10">
        <v>8</v>
      </c>
      <c r="B10" s="65">
        <f>'Data Analysis'!D75</f>
        <v>15000</v>
      </c>
      <c r="C10" s="64">
        <f>'Data Analysis'!E75</f>
        <v>18000</v>
      </c>
      <c r="D10" s="64">
        <f>'Data Analysis'!F75</f>
        <v>16200</v>
      </c>
      <c r="E10" s="3">
        <f>'Data Analysis'!G75</f>
        <v>0.83333333333333337</v>
      </c>
      <c r="F10" s="64">
        <f>'Data Analysis'!H75</f>
        <v>2448</v>
      </c>
      <c r="G10" s="7">
        <f>'Data Analysis'!I75</f>
        <v>0.13600000000000001</v>
      </c>
      <c r="H10" s="64">
        <f>'Data Analysis'!J75</f>
        <v>1982.8799999999999</v>
      </c>
      <c r="I10" s="64">
        <f>'Data Analysis'!K75</f>
        <v>24</v>
      </c>
      <c r="J10" s="3">
        <f>'Data Analysis'!L75</f>
        <v>16800</v>
      </c>
      <c r="S10" s="37"/>
      <c r="T10" s="37"/>
    </row>
    <row r="11" spans="1:20" ht="28.5" customHeight="1" x14ac:dyDescent="0.25">
      <c r="B11" s="66" t="str">
        <f>Table3[[#Headers],[kWh Reduced]]</f>
        <v>kWh Reduced</v>
      </c>
      <c r="C11" s="66" t="str">
        <f>Table3[[#Headers],[Yearly Savings]]</f>
        <v>Yearly Savings</v>
      </c>
      <c r="D11" s="66" t="str">
        <f>Table3[[#Headers],['# Years Payback]]</f>
        <v># Years Payback</v>
      </c>
      <c r="E11" s="66" t="str">
        <f>Table3[[#Headers],[ROI 1 Yr]]</f>
        <v>ROI 1 Yr</v>
      </c>
      <c r="F11" s="66" t="str">
        <f>Table3[[#Headers],[ROI 5 Yr]]</f>
        <v>ROI 5 Yr</v>
      </c>
      <c r="G11" s="66" t="str">
        <f>Table3[[#Headers],[ROI 10 Yr]]</f>
        <v>ROI 10 Yr</v>
      </c>
      <c r="H11" s="66" t="str">
        <f>Table3[[#Headers],[ROI 25 Yr]]</f>
        <v>ROI 25 Yr</v>
      </c>
      <c r="I11" s="66" t="str">
        <f>Table3[[#Headers],[Avg ROI Per Year (25years) Inc Red Eff]]</f>
        <v>Avg ROI Per Year (25years) Inc Red Eff</v>
      </c>
      <c r="J11" s="54"/>
      <c r="K11" s="3"/>
      <c r="L11" s="3"/>
      <c r="M11" s="53"/>
      <c r="N11" s="3"/>
    </row>
    <row r="12" spans="1:20" x14ac:dyDescent="0.25">
      <c r="A12">
        <v>1</v>
      </c>
      <c r="B12" s="7">
        <f>'Data Analysis'!M68</f>
        <v>0.68140206185567009</v>
      </c>
      <c r="C12" s="3">
        <f>'Data Analysis'!N68</f>
        <v>1919.4278400000001</v>
      </c>
      <c r="D12" s="53">
        <f>'Data Analysis'!O68</f>
        <v>8.752608277266626</v>
      </c>
      <c r="E12" s="37">
        <f>'Data Analysis'!AB68</f>
        <v>-0.88574834285714288</v>
      </c>
      <c r="F12" s="37">
        <f>'Data Analysis'!AC68</f>
        <v>-0.42874171428571428</v>
      </c>
      <c r="G12" s="37">
        <f>'Data Analysis'!AD68</f>
        <v>0.14251657142857138</v>
      </c>
      <c r="H12" s="37">
        <f>'Data Analysis'!AE68</f>
        <v>1.8562914285714287</v>
      </c>
      <c r="I12" s="50">
        <f>'Data Analysis'!AF68</f>
        <v>6.6375041353142858E-2</v>
      </c>
      <c r="J12" s="3"/>
      <c r="K12" s="3"/>
      <c r="L12" s="3"/>
      <c r="M12" s="53"/>
      <c r="N12" s="3"/>
    </row>
    <row r="13" spans="1:20" x14ac:dyDescent="0.25">
      <c r="A13">
        <v>2</v>
      </c>
      <c r="B13" s="7">
        <f>'Data Analysis'!M69</f>
        <v>0.42742492970946583</v>
      </c>
      <c r="C13" s="3">
        <f>'Data Analysis'!N69</f>
        <v>1204.0047360000001</v>
      </c>
      <c r="D13" s="53">
        <f>'Data Analysis'!O69</f>
        <v>13.953433485497518</v>
      </c>
      <c r="E13" s="37">
        <f>'Data Analysis'!AB69</f>
        <v>-0.92833305142857137</v>
      </c>
      <c r="F13" s="37">
        <f>'Data Analysis'!AC69</f>
        <v>-0.64166525714285716</v>
      </c>
      <c r="G13" s="37">
        <f>'Data Analysis'!AD69</f>
        <v>-0.28333051428571426</v>
      </c>
      <c r="H13" s="37">
        <f>'Data Analysis'!AE69</f>
        <v>0.79167371428571442</v>
      </c>
      <c r="I13" s="50">
        <f>'Data Analysis'!AF69</f>
        <v>2.8307718666971435E-2</v>
      </c>
      <c r="J13" s="3"/>
      <c r="K13" s="3"/>
      <c r="L13" s="3"/>
      <c r="M13" s="53"/>
      <c r="N13" s="3"/>
    </row>
    <row r="14" spans="1:20" x14ac:dyDescent="0.25">
      <c r="A14">
        <v>3</v>
      </c>
      <c r="B14" s="7">
        <f>'Data Analysis'!M70</f>
        <v>0.46459231490159325</v>
      </c>
      <c r="C14" s="3">
        <f>'Data Analysis'!N70</f>
        <v>1308.7008000000001</v>
      </c>
      <c r="D14" s="53">
        <f>'Data Analysis'!O70</f>
        <v>12.837158806657717</v>
      </c>
      <c r="E14" s="37">
        <f>'Data Analysis'!AB70</f>
        <v>-0.92210114285714284</v>
      </c>
      <c r="F14" s="37">
        <f>'Data Analysis'!AC70</f>
        <v>-0.61050571428571421</v>
      </c>
      <c r="G14" s="37">
        <f>'Data Analysis'!AD70</f>
        <v>-0.22101142857142847</v>
      </c>
      <c r="H14" s="37">
        <f>'Data Analysis'!AE70</f>
        <v>0.94747142857142863</v>
      </c>
      <c r="I14" s="50">
        <f>'Data Analysis'!AF70</f>
        <v>3.3878546377142861E-2</v>
      </c>
      <c r="J14" s="3"/>
      <c r="K14" s="3"/>
      <c r="L14" s="3"/>
      <c r="M14" s="53"/>
      <c r="N14" s="3"/>
    </row>
    <row r="15" spans="1:20" x14ac:dyDescent="0.25">
      <c r="A15">
        <v>4</v>
      </c>
      <c r="B15" s="7">
        <f>'Data Analysis'!M71</f>
        <v>0.72004217432052475</v>
      </c>
      <c r="C15" s="3">
        <f>'Data Analysis'!N71</f>
        <v>2028.2723999999998</v>
      </c>
      <c r="D15" s="53">
        <f>'Data Analysis'!O71</f>
        <v>8.2829111119394021</v>
      </c>
      <c r="E15" s="37">
        <f>'Data Analysis'!AB71</f>
        <v>-0.87926950000000004</v>
      </c>
      <c r="F15" s="37">
        <f>'Data Analysis'!AC71</f>
        <v>-0.39634750000000007</v>
      </c>
      <c r="G15" s="37">
        <f>'Data Analysis'!AD71</f>
        <v>0.20730499999999991</v>
      </c>
      <c r="H15" s="37">
        <f>'Data Analysis'!AE71</f>
        <v>2.0182625000000001</v>
      </c>
      <c r="I15" s="50">
        <f>'Data Analysis'!AF71</f>
        <v>7.2166608559999998E-2</v>
      </c>
    </row>
    <row r="16" spans="1:20" x14ac:dyDescent="0.25">
      <c r="A16">
        <v>5</v>
      </c>
      <c r="B16" s="7">
        <f>'Data Analysis'!M72</f>
        <v>0.77432052483598901</v>
      </c>
      <c r="C16" s="3">
        <f>'Data Analysis'!N72</f>
        <v>2181.168000000001</v>
      </c>
      <c r="D16" s="53">
        <f>'Data Analysis'!O72</f>
        <v>7.7022952839946264</v>
      </c>
      <c r="E16" s="37">
        <f>'Data Analysis'!AB72</f>
        <v>-0.87016857142857129</v>
      </c>
      <c r="F16" s="37">
        <f>'Data Analysis'!AC72</f>
        <v>-0.35084285714285679</v>
      </c>
      <c r="G16" s="37">
        <f>'Data Analysis'!AD72</f>
        <v>0.29831428571428636</v>
      </c>
      <c r="H16" s="37">
        <f>'Data Analysis'!AE72</f>
        <v>2.2457857142857161</v>
      </c>
      <c r="I16" s="50">
        <f>'Data Analysis'!AF72</f>
        <v>8.0302110628571496E-2</v>
      </c>
    </row>
    <row r="17" spans="1:9" x14ac:dyDescent="0.25">
      <c r="A17">
        <v>6</v>
      </c>
      <c r="B17" s="7">
        <f>'Data Analysis'!M73</f>
        <v>0.82594189315838806</v>
      </c>
      <c r="C17" s="3">
        <f>'Data Analysis'!N73</f>
        <v>2326.5792000000001</v>
      </c>
      <c r="D17" s="53">
        <f>'Data Analysis'!O73</f>
        <v>7.2209018287449656</v>
      </c>
      <c r="E17" s="37">
        <f>'Data Analysis'!AB73</f>
        <v>-0.86151314285714287</v>
      </c>
      <c r="F17" s="37">
        <f>'Data Analysis'!AC73</f>
        <v>-0.30756571428571422</v>
      </c>
      <c r="G17" s="37">
        <f>'Data Analysis'!AD73</f>
        <v>0.3848685714285715</v>
      </c>
      <c r="H17" s="37">
        <f>'Data Analysis'!AE73</f>
        <v>2.4621714285714287</v>
      </c>
      <c r="I17" s="50">
        <f>'Data Analysis'!AF73</f>
        <v>8.8039371337142874E-2</v>
      </c>
    </row>
    <row r="18" spans="1:9" x14ac:dyDescent="0.25">
      <c r="A18">
        <v>7</v>
      </c>
      <c r="B18" s="7">
        <f>'Data Analysis'!M74</f>
        <v>0.87756326148078734</v>
      </c>
      <c r="C18" s="3">
        <f>'Data Analysis'!N74</f>
        <v>2471.9904000000001</v>
      </c>
      <c r="D18" s="53">
        <f>'Data Analysis'!O74</f>
        <v>6.7961428976423202</v>
      </c>
      <c r="E18" s="37">
        <f>'Data Analysis'!AB74</f>
        <v>-0.85285771428571422</v>
      </c>
      <c r="F18" s="37">
        <f>'Data Analysis'!AC74</f>
        <v>-0.26428857142857137</v>
      </c>
      <c r="G18" s="37">
        <f>'Data Analysis'!AD74</f>
        <v>0.47142285714285725</v>
      </c>
      <c r="H18" s="37">
        <f>'Data Analysis'!AE74</f>
        <v>2.6785571428571431</v>
      </c>
      <c r="I18" s="50">
        <f>'Data Analysis'!AF74</f>
        <v>9.5776632045714294E-2</v>
      </c>
    </row>
    <row r="19" spans="1:9" x14ac:dyDescent="0.25">
      <c r="A19">
        <v>8</v>
      </c>
      <c r="B19" s="7">
        <f>'Data Analysis'!M75</f>
        <v>0.9291846298031865</v>
      </c>
      <c r="C19" s="3">
        <f>'Data Analysis'!N75</f>
        <v>2617.4016000000001</v>
      </c>
      <c r="D19" s="53">
        <f>'Data Analysis'!O75</f>
        <v>6.4185794033288586</v>
      </c>
      <c r="E19" s="37">
        <f>'Data Analysis'!AB75</f>
        <v>-0.84420228571428568</v>
      </c>
      <c r="F19" s="37">
        <f>'Data Analysis'!AC75</f>
        <v>-0.22101142857142847</v>
      </c>
      <c r="G19" s="37">
        <f>'Data Analysis'!AD75</f>
        <v>0.55797714285714306</v>
      </c>
      <c r="H19" s="37">
        <f>'Data Analysis'!AE75</f>
        <v>2.894942857142857</v>
      </c>
      <c r="I19" s="50">
        <f>'Data Analysis'!AF75</f>
        <v>0.10351389275428571</v>
      </c>
    </row>
    <row r="20" spans="1:9" x14ac:dyDescent="0.25">
      <c r="C20" s="67" t="s">
        <v>141</v>
      </c>
      <c r="D20" s="67"/>
      <c r="E20" s="67"/>
      <c r="F20" s="67"/>
      <c r="G20" s="67"/>
      <c r="H20" s="67"/>
    </row>
  </sheetData>
  <mergeCells count="2">
    <mergeCell ref="A1:J1"/>
    <mergeCell ref="C20:H20"/>
  </mergeCells>
  <conditionalFormatting sqref="I12:I1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H77"/>
  <sheetViews>
    <sheetView zoomScale="85" zoomScaleNormal="85" workbookViewId="0">
      <selection activeCell="B21" sqref="B21"/>
    </sheetView>
  </sheetViews>
  <sheetFormatPr defaultRowHeight="15" x14ac:dyDescent="0.25"/>
  <cols>
    <col min="1" max="1" width="8.5703125" bestFit="1" customWidth="1"/>
    <col min="2" max="2" width="5.85546875" bestFit="1" customWidth="1"/>
    <col min="3" max="3" width="9.28515625" bestFit="1" customWidth="1"/>
    <col min="4" max="4" width="12.140625" bestFit="1" customWidth="1"/>
    <col min="5" max="5" width="9" bestFit="1" customWidth="1"/>
    <col min="6" max="6" width="7" bestFit="1" customWidth="1"/>
    <col min="7" max="7" width="9.42578125" bestFit="1" customWidth="1"/>
    <col min="8" max="8" width="12.7109375" bestFit="1" customWidth="1"/>
    <col min="9" max="9" width="11.42578125" bestFit="1" customWidth="1"/>
    <col min="10" max="10" width="10.28515625" bestFit="1" customWidth="1"/>
    <col min="11" max="11" width="12.7109375" bestFit="1" customWidth="1"/>
    <col min="12" max="12" width="15" bestFit="1" customWidth="1"/>
    <col min="13" max="13" width="15.28515625" bestFit="1" customWidth="1"/>
    <col min="14" max="14" width="16.85546875" bestFit="1" customWidth="1"/>
    <col min="15" max="15" width="12.7109375" bestFit="1" customWidth="1"/>
    <col min="16" max="16" width="13.28515625" bestFit="1" customWidth="1"/>
    <col min="17" max="21" width="12.7109375" bestFit="1" customWidth="1"/>
    <col min="22" max="25" width="13.28515625" bestFit="1" customWidth="1"/>
    <col min="26" max="26" width="12.7109375" bestFit="1" customWidth="1"/>
    <col min="27" max="27" width="13.5703125" style="7" customWidth="1"/>
    <col min="28" max="29" width="9.140625" style="7"/>
    <col min="30" max="30" width="12.140625" style="7" bestFit="1" customWidth="1"/>
  </cols>
  <sheetData>
    <row r="1" spans="1:34" ht="20.45" customHeight="1" x14ac:dyDescent="0.3">
      <c r="A1" s="56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N1" s="58" t="s">
        <v>32</v>
      </c>
      <c r="O1" s="58"/>
      <c r="P1" s="58"/>
      <c r="Q1" s="58"/>
      <c r="R1" s="58"/>
      <c r="S1" s="10"/>
      <c r="T1" s="10"/>
      <c r="U1" s="10"/>
      <c r="AA1" s="7" t="s">
        <v>128</v>
      </c>
    </row>
    <row r="2" spans="1:34" x14ac:dyDescent="0.25">
      <c r="A2" s="60" t="s">
        <v>6</v>
      </c>
      <c r="B2" s="60"/>
      <c r="C2" s="60"/>
      <c r="D2">
        <f>'Predict Your Data'!L3</f>
        <v>0.11</v>
      </c>
      <c r="E2" s="57" t="s">
        <v>8</v>
      </c>
      <c r="F2" s="57"/>
      <c r="G2" s="57"/>
      <c r="J2" s="4" t="s">
        <v>34</v>
      </c>
      <c r="N2" s="58"/>
      <c r="O2" s="58"/>
      <c r="P2" s="58"/>
      <c r="Q2" s="58"/>
      <c r="R2" s="58"/>
      <c r="S2" s="10"/>
      <c r="T2" s="10"/>
      <c r="U2" s="10"/>
      <c r="AH2" t="s">
        <v>126</v>
      </c>
    </row>
    <row r="3" spans="1:34" ht="15.75" thickBot="1" x14ac:dyDescent="0.3">
      <c r="A3" s="60" t="s">
        <v>7</v>
      </c>
      <c r="B3" s="60"/>
      <c r="C3" s="60"/>
      <c r="D3">
        <f>'Predict Your Data'!L4</f>
        <v>4.5</v>
      </c>
      <c r="O3" s="57" t="s">
        <v>24</v>
      </c>
      <c r="P3" s="57"/>
      <c r="Q3" s="57"/>
      <c r="AG3" t="s">
        <v>127</v>
      </c>
    </row>
    <row r="4" spans="1:34" ht="14.45" x14ac:dyDescent="0.3">
      <c r="A4" s="61" t="s">
        <v>0</v>
      </c>
      <c r="B4" s="62"/>
      <c r="C4" s="57"/>
      <c r="D4" s="57"/>
      <c r="E4" s="57"/>
      <c r="F4" s="57"/>
      <c r="G4" s="57"/>
      <c r="AA4" s="7" t="s">
        <v>129</v>
      </c>
    </row>
    <row r="5" spans="1:34" ht="14.45" x14ac:dyDescent="0.3">
      <c r="A5" s="12"/>
      <c r="B5" s="13"/>
      <c r="C5" s="5"/>
      <c r="D5" s="5"/>
      <c r="E5" s="59" t="s">
        <v>14</v>
      </c>
      <c r="F5" s="59"/>
      <c r="H5" s="59" t="s">
        <v>13</v>
      </c>
      <c r="I5" s="59"/>
      <c r="O5" s="2"/>
      <c r="P5" s="59" t="s">
        <v>22</v>
      </c>
      <c r="Q5" s="59"/>
      <c r="R5" s="59"/>
      <c r="S5" s="59"/>
      <c r="T5" s="59"/>
      <c r="U5" s="59"/>
      <c r="V5" s="59"/>
      <c r="W5" s="59"/>
    </row>
    <row r="6" spans="1:34" ht="75" x14ac:dyDescent="0.25">
      <c r="A6" s="12" t="s">
        <v>2</v>
      </c>
      <c r="B6" s="13">
        <v>2536</v>
      </c>
      <c r="C6" s="1" t="s">
        <v>9</v>
      </c>
      <c r="D6" s="1" t="s">
        <v>10</v>
      </c>
      <c r="E6" s="1" t="s">
        <v>131</v>
      </c>
      <c r="F6" s="1" t="s">
        <v>132</v>
      </c>
      <c r="G6" s="1" t="s">
        <v>33</v>
      </c>
      <c r="H6" s="1" t="s">
        <v>135</v>
      </c>
      <c r="I6" s="1" t="s">
        <v>134</v>
      </c>
      <c r="J6" s="1" t="s">
        <v>133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23</v>
      </c>
      <c r="Q6" s="1" t="s">
        <v>25</v>
      </c>
      <c r="R6" s="1" t="s">
        <v>26</v>
      </c>
      <c r="S6" s="1" t="s">
        <v>27</v>
      </c>
      <c r="T6" s="1" t="s">
        <v>28</v>
      </c>
      <c r="U6" s="1" t="s">
        <v>56</v>
      </c>
      <c r="V6" s="1" t="s">
        <v>57</v>
      </c>
      <c r="W6" s="1" t="s">
        <v>29</v>
      </c>
      <c r="X6" s="1" t="s">
        <v>30</v>
      </c>
      <c r="Y6" s="1" t="s">
        <v>58</v>
      </c>
      <c r="Z6" s="1" t="s">
        <v>59</v>
      </c>
      <c r="AA6" s="1" t="s">
        <v>60</v>
      </c>
      <c r="AB6" s="36" t="s">
        <v>136</v>
      </c>
      <c r="AC6" s="36" t="s">
        <v>137</v>
      </c>
      <c r="AD6" s="36" t="s">
        <v>138</v>
      </c>
      <c r="AE6" s="36" t="s">
        <v>139</v>
      </c>
      <c r="AF6" s="1" t="s">
        <v>140</v>
      </c>
      <c r="AG6" s="1" t="s">
        <v>100</v>
      </c>
      <c r="AH6" s="1" t="s">
        <v>96</v>
      </c>
    </row>
    <row r="7" spans="1:34" x14ac:dyDescent="0.25">
      <c r="A7" s="12" t="s">
        <v>1</v>
      </c>
      <c r="B7" s="13">
        <v>2448</v>
      </c>
      <c r="C7">
        <v>3600159</v>
      </c>
      <c r="D7" s="3">
        <v>42110</v>
      </c>
      <c r="E7">
        <v>18800</v>
      </c>
      <c r="F7">
        <v>16944</v>
      </c>
      <c r="G7" s="3">
        <f>Table3[[#This Row],[Price]]/Table3[[#This Row],[STC Watts]]</f>
        <v>2.2398936170212767</v>
      </c>
      <c r="H7">
        <v>2542</v>
      </c>
      <c r="I7" s="39">
        <f>Table3[[#This Row],[Theoretical Monthly Output]]/Table3[[#This Row],[STC Watts]]</f>
        <v>0.1352127659574468</v>
      </c>
      <c r="J7" s="20">
        <f>((H7*$D$3)/5)*(Table3[[#This Row],[PTC Watts]]/Table3[[#This Row],[STC Watts]])</f>
        <v>2061.9405957446811</v>
      </c>
      <c r="K7">
        <v>80</v>
      </c>
      <c r="L7" s="6">
        <f t="shared" ref="L7:L38" si="0">D7+(K7*75)</f>
        <v>48110</v>
      </c>
      <c r="M7" s="21">
        <f>J7/$B$10</f>
        <v>0.9662327065345272</v>
      </c>
      <c r="N7" s="8">
        <f>($B$10*$D$2*12)*M7</f>
        <v>2721.7615863829792</v>
      </c>
      <c r="O7" s="9">
        <f t="shared" ref="O7:O38" si="1">L7/N7</f>
        <v>17.67605224524263</v>
      </c>
      <c r="P7" s="11">
        <f>N7*20</f>
        <v>54435.231727659586</v>
      </c>
      <c r="Q7" s="11">
        <f>P7-L7</f>
        <v>6325.2317276595859</v>
      </c>
      <c r="R7" s="11">
        <f t="shared" ref="R7:R38" si="2">Q7+(N7*5)</f>
        <v>19934.039659574482</v>
      </c>
      <c r="S7" s="11">
        <f t="shared" ref="S7:S38" si="3">Q7+(N7*10)</f>
        <v>33542.847591489379</v>
      </c>
      <c r="T7" s="11">
        <f t="shared" ref="T7:T38" si="4">Q7+(N7*15)</f>
        <v>47151.655523404275</v>
      </c>
      <c r="U7" s="11">
        <f t="shared" ref="U7:U38" si="5">Q7+(N7*20)</f>
        <v>60760.463455319172</v>
      </c>
      <c r="V7" s="11">
        <f t="shared" ref="V7:V38" si="6">Q7+(N7*25)</f>
        <v>74369.271387234068</v>
      </c>
      <c r="W7" s="11">
        <f>(N7*5)-L7</f>
        <v>-34501.192068085104</v>
      </c>
      <c r="X7" s="11">
        <f t="shared" ref="X7:X38" si="7">(N7*10)-L7</f>
        <v>-20892.384136170207</v>
      </c>
      <c r="Y7" s="11">
        <f t="shared" ref="Y7:Y38" si="8">(N7*15)-L7</f>
        <v>-7283.5762042553106</v>
      </c>
      <c r="Z7" s="11">
        <f t="shared" ref="Z7:Z38" si="9">(N7*20)-L7</f>
        <v>6325.2317276595859</v>
      </c>
      <c r="AA7" s="11">
        <f t="shared" ref="AA7:AA38" si="10">(N7*25)-L7</f>
        <v>19934.039659574482</v>
      </c>
      <c r="AB7" s="7">
        <f>(N7-L7)/L7</f>
        <v>-0.94342628172140974</v>
      </c>
      <c r="AC7" s="7">
        <f t="shared" ref="AC7:AC38" si="11">(($N7*5)-$L7)/$L7</f>
        <v>-0.71713140860704849</v>
      </c>
      <c r="AD7" s="7">
        <f t="shared" ref="AD7:AD38" si="12">(($N7*10)-$L7)/$L7</f>
        <v>-0.43426281721409699</v>
      </c>
      <c r="AE7" s="7">
        <f t="shared" ref="AE7:AE38" si="13">(($N7*25)-$L7)/$L7</f>
        <v>0.41434295696475748</v>
      </c>
      <c r="AF7" s="50">
        <f>(((($N7*25)-$L7)/$L7)/25)*(0.89392)</f>
        <v>1.481557824359744E-2</v>
      </c>
      <c r="AG7">
        <f>F7/E7</f>
        <v>0.90127659574468089</v>
      </c>
      <c r="AH7" s="7"/>
    </row>
    <row r="8" spans="1:34" x14ac:dyDescent="0.25">
      <c r="A8" s="12" t="s">
        <v>3</v>
      </c>
      <c r="B8" s="13">
        <v>2212</v>
      </c>
      <c r="C8">
        <v>1049881</v>
      </c>
      <c r="D8" s="3">
        <v>40025</v>
      </c>
      <c r="E8">
        <v>19600</v>
      </c>
      <c r="F8">
        <v>17712</v>
      </c>
      <c r="G8" s="3">
        <f>Table3[[#This Row],[Price]]/Table3[[#This Row],[STC Watts]]</f>
        <v>2.0420918367346941</v>
      </c>
      <c r="H8">
        <v>2657</v>
      </c>
      <c r="I8" s="39">
        <f>Table3[[#This Row],[Theoretical Monthly Output]]/Table3[[#This Row],[STC Watts]]</f>
        <v>0.13556122448979591</v>
      </c>
      <c r="J8" s="20">
        <f>((H8*$D$3)/5)*(Table3[[#This Row],[PTC Watts]]/Table3[[#This Row],[STC Watts]])</f>
        <v>2160.9543673469389</v>
      </c>
      <c r="K8">
        <v>80</v>
      </c>
      <c r="L8" s="6">
        <f t="shared" si="0"/>
        <v>46025</v>
      </c>
      <c r="M8" s="21">
        <f t="shared" ref="M8:M38" si="14">J8/$B$10</f>
        <v>1.0126309125337107</v>
      </c>
      <c r="N8" s="8">
        <f>($B$10*$D$2*12)*M8</f>
        <v>2852.4597648979593</v>
      </c>
      <c r="O8" s="9">
        <f>L8/N8</f>
        <v>16.135196915440609</v>
      </c>
      <c r="P8" s="11">
        <f t="shared" ref="P8:P38" si="15">N8*20</f>
        <v>57049.195297959188</v>
      </c>
      <c r="Q8" s="11">
        <f t="shared" ref="Q8:Q38" si="16">P8-L8</f>
        <v>11024.195297959188</v>
      </c>
      <c r="R8" s="11">
        <f t="shared" si="2"/>
        <v>25286.494122448985</v>
      </c>
      <c r="S8" s="11">
        <f t="shared" si="3"/>
        <v>39548.792946938782</v>
      </c>
      <c r="T8" s="11">
        <f t="shared" si="4"/>
        <v>53811.091771428575</v>
      </c>
      <c r="U8" s="11">
        <f t="shared" si="5"/>
        <v>68073.390595918376</v>
      </c>
      <c r="V8" s="11">
        <f t="shared" si="6"/>
        <v>82335.689420408176</v>
      </c>
      <c r="W8" s="11">
        <f t="shared" ref="W8:W38" si="17">(N8*5)-L8</f>
        <v>-31762.701175510203</v>
      </c>
      <c r="X8" s="11">
        <f t="shared" si="7"/>
        <v>-17500.402351020406</v>
      </c>
      <c r="Y8" s="11">
        <f t="shared" si="8"/>
        <v>-3238.1035265306127</v>
      </c>
      <c r="Z8" s="11">
        <f t="shared" si="9"/>
        <v>11024.195297959188</v>
      </c>
      <c r="AA8" s="11">
        <f t="shared" si="10"/>
        <v>25286.494122448988</v>
      </c>
      <c r="AB8" s="7">
        <f t="shared" ref="AB8:AB38" si="18">(N8-L8)/L8</f>
        <v>-0.93802368788923496</v>
      </c>
      <c r="AC8" s="7">
        <f t="shared" si="11"/>
        <v>-0.69011843944617501</v>
      </c>
      <c r="AD8" s="7">
        <f t="shared" si="12"/>
        <v>-0.38023687889234992</v>
      </c>
      <c r="AE8" s="7">
        <f t="shared" si="13"/>
        <v>0.54940780276912526</v>
      </c>
      <c r="AF8" s="50">
        <f>(((($N8*25)-$L8)/$L8)/25)*(0.89392)</f>
        <v>1.9645064922055058E-2</v>
      </c>
      <c r="AG8">
        <f t="shared" ref="AG8:AG38" si="19">F8/E8</f>
        <v>0.90367346938775506</v>
      </c>
      <c r="AH8" s="37"/>
    </row>
    <row r="9" spans="1:34" x14ac:dyDescent="0.25">
      <c r="A9" s="12" t="s">
        <v>4</v>
      </c>
      <c r="B9" s="13">
        <v>1340</v>
      </c>
      <c r="C9">
        <v>3600169</v>
      </c>
      <c r="D9" s="3">
        <v>39675</v>
      </c>
      <c r="E9">
        <v>19600</v>
      </c>
      <c r="F9">
        <v>17712</v>
      </c>
      <c r="G9" s="3">
        <f>Table3[[#This Row],[Price]]/Table3[[#This Row],[STC Watts]]</f>
        <v>2.0242346938775508</v>
      </c>
      <c r="H9">
        <v>2656</v>
      </c>
      <c r="I9" s="39">
        <f>Table3[[#This Row],[Theoretical Monthly Output]]/Table3[[#This Row],[STC Watts]]</f>
        <v>0.13551020408163264</v>
      </c>
      <c r="J9" s="20">
        <f>((H9*$D$3)/5)*(Table3[[#This Row],[PTC Watts]]/Table3[[#This Row],[STC Watts]])</f>
        <v>2160.1410612244899</v>
      </c>
      <c r="K9">
        <v>80</v>
      </c>
      <c r="L9" s="6">
        <f t="shared" si="0"/>
        <v>45675</v>
      </c>
      <c r="M9" s="21">
        <f t="shared" si="14"/>
        <v>1.0122497943882334</v>
      </c>
      <c r="N9" s="8">
        <f t="shared" ref="N9:N38" si="20">($B$10*$D$2*12)*M9</f>
        <v>2851.3862008163269</v>
      </c>
      <c r="O9" s="9">
        <f t="shared" si="1"/>
        <v>16.01852459934177</v>
      </c>
      <c r="P9" s="11">
        <f t="shared" si="15"/>
        <v>57027.724016326538</v>
      </c>
      <c r="Q9" s="11">
        <f t="shared" si="16"/>
        <v>11352.724016326538</v>
      </c>
      <c r="R9" s="11">
        <f t="shared" si="2"/>
        <v>25609.655020408172</v>
      </c>
      <c r="S9" s="11">
        <f t="shared" si="3"/>
        <v>39866.586024489807</v>
      </c>
      <c r="T9" s="11">
        <f t="shared" si="4"/>
        <v>54123.517028571441</v>
      </c>
      <c r="U9" s="11">
        <f t="shared" si="5"/>
        <v>68380.448032653076</v>
      </c>
      <c r="V9" s="11">
        <f t="shared" si="6"/>
        <v>82637.37903673471</v>
      </c>
      <c r="W9" s="11">
        <f t="shared" si="17"/>
        <v>-31418.068995918366</v>
      </c>
      <c r="X9" s="11">
        <f t="shared" si="7"/>
        <v>-17161.137991836731</v>
      </c>
      <c r="Y9" s="11">
        <f t="shared" si="8"/>
        <v>-2904.2069877550966</v>
      </c>
      <c r="Z9" s="11">
        <f t="shared" si="9"/>
        <v>11352.724016326538</v>
      </c>
      <c r="AA9" s="11">
        <f t="shared" si="10"/>
        <v>25609.655020408172</v>
      </c>
      <c r="AB9" s="7">
        <f t="shared" si="18"/>
        <v>-0.93757227803357801</v>
      </c>
      <c r="AC9" s="7">
        <f t="shared" si="11"/>
        <v>-0.68786139016788983</v>
      </c>
      <c r="AD9" s="7">
        <f t="shared" si="12"/>
        <v>-0.37572278033577955</v>
      </c>
      <c r="AE9" s="7">
        <f t="shared" si="13"/>
        <v>0.56069304916055107</v>
      </c>
      <c r="AF9" s="50">
        <f>(((($N9*25)-$L9)/$L9)/25)*(0.89392)</f>
        <v>2.0048589220223994E-2</v>
      </c>
      <c r="AG9">
        <f t="shared" si="19"/>
        <v>0.90367346938775506</v>
      </c>
      <c r="AH9" s="37"/>
    </row>
    <row r="10" spans="1:34" ht="15.75" thickBot="1" x14ac:dyDescent="0.3">
      <c r="A10" s="14" t="s">
        <v>5</v>
      </c>
      <c r="B10" s="15">
        <f>AVERAGE(B6:B9)</f>
        <v>2134</v>
      </c>
      <c r="C10">
        <v>3600067</v>
      </c>
      <c r="D10" s="3">
        <v>37889</v>
      </c>
      <c r="E10">
        <v>19200</v>
      </c>
      <c r="F10">
        <v>17448</v>
      </c>
      <c r="G10" s="3">
        <f>Table3[[#This Row],[Price]]/Table3[[#This Row],[STC Watts]]</f>
        <v>1.9733854166666667</v>
      </c>
      <c r="H10">
        <v>2617</v>
      </c>
      <c r="I10" s="39">
        <f>Table3[[#This Row],[Theoretical Monthly Output]]/Table3[[#This Row],[STC Watts]]</f>
        <v>0.13630208333333332</v>
      </c>
      <c r="J10" s="20">
        <f>((H10*$D$3)/5)*(Table3[[#This Row],[PTC Watts]]/Table3[[#This Row],[STC Watts]])</f>
        <v>2140.3788749999999</v>
      </c>
      <c r="K10">
        <v>80</v>
      </c>
      <c r="L10" s="6">
        <f t="shared" si="0"/>
        <v>43889</v>
      </c>
      <c r="M10" s="21">
        <f t="shared" si="14"/>
        <v>1.0029891635426429</v>
      </c>
      <c r="N10" s="8">
        <f t="shared" si="20"/>
        <v>2825.300115</v>
      </c>
      <c r="O10" s="9">
        <f t="shared" si="1"/>
        <v>15.534278913233258</v>
      </c>
      <c r="P10" s="11">
        <f t="shared" si="15"/>
        <v>56506.0023</v>
      </c>
      <c r="Q10" s="11">
        <f t="shared" si="16"/>
        <v>12617.0023</v>
      </c>
      <c r="R10" s="11">
        <f t="shared" si="2"/>
        <v>26743.502874999998</v>
      </c>
      <c r="S10" s="11">
        <f t="shared" si="3"/>
        <v>40870.003450000004</v>
      </c>
      <c r="T10" s="11">
        <f t="shared" si="4"/>
        <v>54996.504025000002</v>
      </c>
      <c r="U10" s="11">
        <f t="shared" si="5"/>
        <v>69123.0046</v>
      </c>
      <c r="V10" s="11">
        <f t="shared" si="6"/>
        <v>83249.505174999998</v>
      </c>
      <c r="W10" s="11">
        <f t="shared" si="17"/>
        <v>-29762.499425000002</v>
      </c>
      <c r="X10" s="11">
        <f t="shared" si="7"/>
        <v>-15635.99885</v>
      </c>
      <c r="Y10" s="11">
        <f t="shared" si="8"/>
        <v>-1509.4982749999981</v>
      </c>
      <c r="Z10" s="11">
        <f t="shared" si="9"/>
        <v>12617.0023</v>
      </c>
      <c r="AA10" s="11">
        <f t="shared" si="10"/>
        <v>26743.502875000006</v>
      </c>
      <c r="AB10" s="7">
        <f t="shared" si="18"/>
        <v>-0.93562623630066766</v>
      </c>
      <c r="AC10" s="7">
        <f t="shared" si="11"/>
        <v>-0.67813118150333795</v>
      </c>
      <c r="AD10" s="7">
        <f t="shared" si="12"/>
        <v>-0.35626236300667591</v>
      </c>
      <c r="AE10" s="7">
        <f t="shared" si="13"/>
        <v>0.60934409248331034</v>
      </c>
      <c r="AF10" s="50">
        <f t="shared" ref="AF10:AF38" si="21">(((($N10*25)-$L10)/$L10)/25)*(0.89392)</f>
        <v>2.1788194846107233E-2</v>
      </c>
      <c r="AG10">
        <f t="shared" si="19"/>
        <v>0.90874999999999995</v>
      </c>
      <c r="AH10" s="37"/>
    </row>
    <row r="11" spans="1:34" x14ac:dyDescent="0.25">
      <c r="C11">
        <v>3600158</v>
      </c>
      <c r="D11" s="3">
        <v>32700</v>
      </c>
      <c r="E11">
        <v>14100</v>
      </c>
      <c r="F11">
        <v>12708</v>
      </c>
      <c r="G11" s="3">
        <f>Table3[[#This Row],[Price]]/Table3[[#This Row],[STC Watts]]</f>
        <v>2.3191489361702127</v>
      </c>
      <c r="H11">
        <v>1906</v>
      </c>
      <c r="I11" s="39">
        <f>Table3[[#This Row],[Theoretical Monthly Output]]/Table3[[#This Row],[STC Watts]]</f>
        <v>0.135177304964539</v>
      </c>
      <c r="J11" s="20">
        <f>((H11*$D$3)/5)*(Table3[[#This Row],[PTC Watts]]/Table3[[#This Row],[STC Watts]])</f>
        <v>1546.0498723404257</v>
      </c>
      <c r="K11">
        <v>60</v>
      </c>
      <c r="L11" s="6">
        <f t="shared" si="0"/>
        <v>37200</v>
      </c>
      <c r="M11" s="21">
        <f t="shared" si="14"/>
        <v>0.72448447626074308</v>
      </c>
      <c r="N11" s="8">
        <f t="shared" si="20"/>
        <v>2040.785831489362</v>
      </c>
      <c r="O11" s="9">
        <f t="shared" si="1"/>
        <v>18.22827237723985</v>
      </c>
      <c r="P11" s="11">
        <f t="shared" si="15"/>
        <v>40815.716629787239</v>
      </c>
      <c r="Q11" s="11">
        <f t="shared" si="16"/>
        <v>3615.7166297872391</v>
      </c>
      <c r="R11" s="11">
        <f t="shared" si="2"/>
        <v>13819.645787234049</v>
      </c>
      <c r="S11" s="11">
        <f t="shared" si="3"/>
        <v>24023.574944680859</v>
      </c>
      <c r="T11" s="11">
        <f t="shared" si="4"/>
        <v>34227.50410212767</v>
      </c>
      <c r="U11" s="11">
        <f t="shared" si="5"/>
        <v>44431.433259574478</v>
      </c>
      <c r="V11" s="11">
        <f t="shared" si="6"/>
        <v>54635.362417021286</v>
      </c>
      <c r="W11" s="11">
        <f t="shared" si="17"/>
        <v>-26996.070842553192</v>
      </c>
      <c r="X11" s="11">
        <f t="shared" si="7"/>
        <v>-16792.14168510638</v>
      </c>
      <c r="Y11" s="11">
        <f t="shared" si="8"/>
        <v>-6588.2125276595689</v>
      </c>
      <c r="Z11" s="11">
        <f t="shared" si="9"/>
        <v>3615.7166297872391</v>
      </c>
      <c r="AA11" s="11">
        <f t="shared" si="10"/>
        <v>13819.645787234047</v>
      </c>
      <c r="AB11" s="7">
        <f t="shared" si="18"/>
        <v>-0.94514016582017846</v>
      </c>
      <c r="AC11" s="7">
        <f>(($N11*5)-$L11)/$L11</f>
        <v>-0.72570082910089229</v>
      </c>
      <c r="AD11" s="7">
        <f t="shared" si="12"/>
        <v>-0.45140165820178441</v>
      </c>
      <c r="AE11" s="7">
        <f t="shared" si="13"/>
        <v>0.3714958544955389</v>
      </c>
      <c r="AF11" s="50">
        <f t="shared" si="21"/>
        <v>1.3283502970026086E-2</v>
      </c>
      <c r="AG11">
        <f t="shared" si="19"/>
        <v>0.90127659574468089</v>
      </c>
      <c r="AH11" s="37"/>
    </row>
    <row r="12" spans="1:34" x14ac:dyDescent="0.25">
      <c r="C12">
        <v>1049880</v>
      </c>
      <c r="D12" s="3">
        <v>30950</v>
      </c>
      <c r="E12">
        <v>14700</v>
      </c>
      <c r="F12">
        <v>13284</v>
      </c>
      <c r="G12" s="3">
        <f>Table3[[#This Row],[Price]]/Table3[[#This Row],[STC Watts]]</f>
        <v>2.1054421768707483</v>
      </c>
      <c r="H12">
        <v>1993</v>
      </c>
      <c r="I12" s="39">
        <f>Table3[[#This Row],[Theoretical Monthly Output]]/Table3[[#This Row],[STC Watts]]</f>
        <v>0.135578231292517</v>
      </c>
      <c r="J12" s="20">
        <f>((H12*$D$3)/5)*(Table3[[#This Row],[PTC Watts]]/Table3[[#This Row],[STC Watts]])</f>
        <v>1620.9191020408164</v>
      </c>
      <c r="K12">
        <v>60</v>
      </c>
      <c r="L12" s="6">
        <f t="shared" si="0"/>
        <v>35450</v>
      </c>
      <c r="M12" s="21">
        <f t="shared" si="14"/>
        <v>0.75956846393665245</v>
      </c>
      <c r="N12" s="8">
        <f>($B$10*$D$2*12)*M12</f>
        <v>2139.6132146938776</v>
      </c>
      <c r="O12" s="9">
        <f t="shared" si="1"/>
        <v>16.568415149310976</v>
      </c>
      <c r="P12" s="11">
        <f t="shared" si="15"/>
        <v>42792.264293877553</v>
      </c>
      <c r="Q12" s="11">
        <f t="shared" si="16"/>
        <v>7342.2642938775534</v>
      </c>
      <c r="R12" s="11">
        <f t="shared" si="2"/>
        <v>18040.330367346942</v>
      </c>
      <c r="S12" s="11">
        <f t="shared" si="3"/>
        <v>28738.39644081633</v>
      </c>
      <c r="T12" s="11">
        <f t="shared" si="4"/>
        <v>39436.462514285718</v>
      </c>
      <c r="U12" s="11">
        <f t="shared" si="5"/>
        <v>50134.528587755107</v>
      </c>
      <c r="V12" s="11">
        <f t="shared" si="6"/>
        <v>60832.594661224495</v>
      </c>
      <c r="W12" s="11">
        <f t="shared" si="17"/>
        <v>-24751.933926530612</v>
      </c>
      <c r="X12" s="11">
        <f t="shared" si="7"/>
        <v>-14053.867853061223</v>
      </c>
      <c r="Y12" s="11">
        <f t="shared" si="8"/>
        <v>-3355.8017795918349</v>
      </c>
      <c r="Z12" s="11">
        <f t="shared" si="9"/>
        <v>7342.2642938775534</v>
      </c>
      <c r="AA12" s="11">
        <f t="shared" si="10"/>
        <v>18040.330367346942</v>
      </c>
      <c r="AB12" s="7">
        <f t="shared" si="18"/>
        <v>-0.9396441970467172</v>
      </c>
      <c r="AC12" s="7">
        <f t="shared" si="11"/>
        <v>-0.69822098523358567</v>
      </c>
      <c r="AD12" s="7">
        <f t="shared" si="12"/>
        <v>-0.39644197046717133</v>
      </c>
      <c r="AE12" s="7">
        <f t="shared" si="13"/>
        <v>0.50889507383207166</v>
      </c>
      <c r="AF12" s="50">
        <f t="shared" si="21"/>
        <v>1.8196459375998619E-2</v>
      </c>
      <c r="AG12">
        <f t="shared" si="19"/>
        <v>0.90367346938775506</v>
      </c>
      <c r="AH12" s="37"/>
    </row>
    <row r="13" spans="1:34" x14ac:dyDescent="0.25">
      <c r="C13">
        <v>3600168</v>
      </c>
      <c r="D13" s="3">
        <v>29995</v>
      </c>
      <c r="E13">
        <v>14700</v>
      </c>
      <c r="F13">
        <v>13284</v>
      </c>
      <c r="G13" s="3">
        <f>Table3[[#This Row],[Price]]/Table3[[#This Row],[STC Watts]]</f>
        <v>2.0404761904761903</v>
      </c>
      <c r="H13">
        <v>1993</v>
      </c>
      <c r="I13" s="39">
        <f>Table3[[#This Row],[Theoretical Monthly Output]]/Table3[[#This Row],[STC Watts]]</f>
        <v>0.135578231292517</v>
      </c>
      <c r="J13" s="20">
        <f>((H13*$D$3)/5)*(Table3[[#This Row],[PTC Watts]]/Table3[[#This Row],[STC Watts]])</f>
        <v>1620.9191020408164</v>
      </c>
      <c r="K13">
        <v>60</v>
      </c>
      <c r="L13" s="6">
        <f t="shared" si="0"/>
        <v>34495</v>
      </c>
      <c r="M13" s="21">
        <f>J13/$B$10</f>
        <v>0.75956846393665245</v>
      </c>
      <c r="N13" s="8">
        <f t="shared" si="20"/>
        <v>2139.6132146938776</v>
      </c>
      <c r="O13" s="9">
        <f t="shared" si="1"/>
        <v>16.122072794794981</v>
      </c>
      <c r="P13" s="11">
        <f t="shared" si="15"/>
        <v>42792.264293877553</v>
      </c>
      <c r="Q13" s="11">
        <f t="shared" si="16"/>
        <v>8297.2642938775534</v>
      </c>
      <c r="R13" s="11">
        <f t="shared" si="2"/>
        <v>18995.330367346942</v>
      </c>
      <c r="S13" s="11">
        <f t="shared" si="3"/>
        <v>29693.39644081633</v>
      </c>
      <c r="T13" s="11">
        <f t="shared" si="4"/>
        <v>40391.462514285718</v>
      </c>
      <c r="U13" s="11">
        <f t="shared" si="5"/>
        <v>51089.528587755107</v>
      </c>
      <c r="V13" s="11">
        <f t="shared" si="6"/>
        <v>61787.594661224495</v>
      </c>
      <c r="W13" s="11">
        <f t="shared" si="17"/>
        <v>-23796.933926530612</v>
      </c>
      <c r="X13" s="11">
        <f t="shared" si="7"/>
        <v>-13098.867853061223</v>
      </c>
      <c r="Y13" s="11">
        <f t="shared" si="8"/>
        <v>-2400.8017795918349</v>
      </c>
      <c r="Z13" s="11">
        <f t="shared" si="9"/>
        <v>8297.2642938775534</v>
      </c>
      <c r="AA13" s="11">
        <f t="shared" si="10"/>
        <v>18995.330367346942</v>
      </c>
      <c r="AB13" s="7">
        <f t="shared" si="18"/>
        <v>-0.93797323627499996</v>
      </c>
      <c r="AC13" s="7">
        <f t="shared" si="11"/>
        <v>-0.68986618137499967</v>
      </c>
      <c r="AD13" s="7">
        <f t="shared" si="12"/>
        <v>-0.37973236274999922</v>
      </c>
      <c r="AE13" s="7">
        <f t="shared" si="13"/>
        <v>0.5506690931250019</v>
      </c>
      <c r="AF13" s="50">
        <f t="shared" si="21"/>
        <v>1.9690164629052067E-2</v>
      </c>
      <c r="AG13">
        <f t="shared" si="19"/>
        <v>0.90367346938775506</v>
      </c>
      <c r="AH13" s="37"/>
    </row>
    <row r="14" spans="1:34" x14ac:dyDescent="0.25">
      <c r="C14">
        <v>3600066</v>
      </c>
      <c r="D14" s="3">
        <v>28677</v>
      </c>
      <c r="E14">
        <v>14400</v>
      </c>
      <c r="F14">
        <v>13086</v>
      </c>
      <c r="G14" s="3">
        <f>Table3[[#This Row],[Price]]/Table3[[#This Row],[STC Watts]]</f>
        <v>1.9914583333333333</v>
      </c>
      <c r="H14">
        <v>1962</v>
      </c>
      <c r="I14" s="39">
        <f>Table3[[#This Row],[Theoretical Monthly Output]]/Table3[[#This Row],[STC Watts]]</f>
        <v>0.13625000000000001</v>
      </c>
      <c r="J14" s="20">
        <f>((H14*$D$3)/5)*(Table3[[#This Row],[PTC Watts]]/Table3[[#This Row],[STC Watts]])</f>
        <v>1604.6707499999998</v>
      </c>
      <c r="K14">
        <v>60</v>
      </c>
      <c r="L14" s="6">
        <f t="shared" si="0"/>
        <v>33177</v>
      </c>
      <c r="M14" s="21">
        <f t="shared" si="14"/>
        <v>0.751954428303655</v>
      </c>
      <c r="N14" s="8">
        <f t="shared" si="20"/>
        <v>2118.1653899999997</v>
      </c>
      <c r="O14" s="9">
        <f t="shared" si="1"/>
        <v>15.663082853034439</v>
      </c>
      <c r="P14" s="11">
        <f t="shared" si="15"/>
        <v>42363.307799999995</v>
      </c>
      <c r="Q14" s="11">
        <f t="shared" si="16"/>
        <v>9186.307799999995</v>
      </c>
      <c r="R14" s="11">
        <f t="shared" si="2"/>
        <v>19777.134749999994</v>
      </c>
      <c r="S14" s="11">
        <f t="shared" si="3"/>
        <v>30367.961699999993</v>
      </c>
      <c r="T14" s="11">
        <f t="shared" si="4"/>
        <v>40958.788649999988</v>
      </c>
      <c r="U14" s="11">
        <f t="shared" si="5"/>
        <v>51549.61559999999</v>
      </c>
      <c r="V14" s="11">
        <f t="shared" si="6"/>
        <v>62140.442549999985</v>
      </c>
      <c r="W14" s="11">
        <f t="shared" si="17"/>
        <v>-22586.173050000001</v>
      </c>
      <c r="X14" s="11">
        <f t="shared" si="7"/>
        <v>-11995.346100000002</v>
      </c>
      <c r="Y14" s="11">
        <f t="shared" si="8"/>
        <v>-1404.5191500000037</v>
      </c>
      <c r="Z14" s="11">
        <f t="shared" si="9"/>
        <v>9186.307799999995</v>
      </c>
      <c r="AA14" s="11">
        <f t="shared" si="10"/>
        <v>19777.13474999999</v>
      </c>
      <c r="AB14" s="7">
        <f t="shared" si="18"/>
        <v>-0.93615560810199838</v>
      </c>
      <c r="AC14" s="7">
        <f t="shared" si="11"/>
        <v>-0.68077804050999191</v>
      </c>
      <c r="AD14" s="7">
        <f t="shared" si="12"/>
        <v>-0.36155608101998382</v>
      </c>
      <c r="AE14" s="7">
        <f t="shared" si="13"/>
        <v>0.59610979745004045</v>
      </c>
      <c r="AF14" s="50">
        <f t="shared" si="21"/>
        <v>2.1314978805461605E-2</v>
      </c>
      <c r="AG14">
        <f t="shared" si="19"/>
        <v>0.90874999999999995</v>
      </c>
      <c r="AH14" s="37"/>
    </row>
    <row r="15" spans="1:34" x14ac:dyDescent="0.25">
      <c r="C15">
        <v>3600124</v>
      </c>
      <c r="D15" s="3">
        <v>28560</v>
      </c>
      <c r="E15">
        <v>11750</v>
      </c>
      <c r="F15">
        <v>10590</v>
      </c>
      <c r="G15" s="3">
        <f>Table3[[#This Row],[Price]]/Table3[[#This Row],[STC Watts]]</f>
        <v>2.4306382978723406</v>
      </c>
      <c r="H15">
        <v>1588.5</v>
      </c>
      <c r="I15" s="39">
        <f>Table3[[#This Row],[Theoretical Monthly Output]]/Table3[[#This Row],[STC Watts]]</f>
        <v>0.13519148936170214</v>
      </c>
      <c r="J15" s="20">
        <f>((H15*$D$3)/5)*(Table3[[#This Row],[PTC Watts]]/Table3[[#This Row],[STC Watts]])</f>
        <v>1288.510085106383</v>
      </c>
      <c r="K15">
        <v>50</v>
      </c>
      <c r="L15" s="6">
        <f t="shared" si="0"/>
        <v>32310</v>
      </c>
      <c r="M15" s="21">
        <f t="shared" si="14"/>
        <v>0.60380041476400326</v>
      </c>
      <c r="N15" s="8">
        <f t="shared" si="20"/>
        <v>1700.8333123404257</v>
      </c>
      <c r="O15" s="9">
        <f t="shared" si="1"/>
        <v>18.996570543141548</v>
      </c>
      <c r="P15" s="11">
        <f t="shared" si="15"/>
        <v>34016.666246808512</v>
      </c>
      <c r="Q15" s="11">
        <f t="shared" si="16"/>
        <v>1706.6662468085124</v>
      </c>
      <c r="R15" s="11">
        <f t="shared" si="2"/>
        <v>10210.83280851064</v>
      </c>
      <c r="S15" s="11">
        <f t="shared" si="3"/>
        <v>18714.999370212769</v>
      </c>
      <c r="T15" s="11">
        <f t="shared" si="4"/>
        <v>27219.165931914897</v>
      </c>
      <c r="U15" s="11">
        <f t="shared" si="5"/>
        <v>35723.332493617025</v>
      </c>
      <c r="V15" s="11">
        <f t="shared" si="6"/>
        <v>44227.499055319153</v>
      </c>
      <c r="W15" s="11">
        <f t="shared" si="17"/>
        <v>-23805.833438297872</v>
      </c>
      <c r="X15" s="11">
        <f t="shared" si="7"/>
        <v>-15301.666876595744</v>
      </c>
      <c r="Y15" s="11">
        <f t="shared" si="8"/>
        <v>-6797.5003148936157</v>
      </c>
      <c r="Z15" s="11">
        <f t="shared" si="9"/>
        <v>1706.6662468085124</v>
      </c>
      <c r="AA15" s="11">
        <f t="shared" si="10"/>
        <v>10210.83280851064</v>
      </c>
      <c r="AB15" s="7">
        <f t="shared" si="18"/>
        <v>-0.94735891945712081</v>
      </c>
      <c r="AC15" s="7">
        <f t="shared" si="11"/>
        <v>-0.73679459728560426</v>
      </c>
      <c r="AD15" s="7">
        <f t="shared" si="12"/>
        <v>-0.47358919457120841</v>
      </c>
      <c r="AE15" s="7">
        <f t="shared" si="13"/>
        <v>0.31602701357197899</v>
      </c>
      <c r="AF15" s="50">
        <f t="shared" si="21"/>
        <v>1.1300114718890539E-2</v>
      </c>
      <c r="AG15">
        <f t="shared" si="19"/>
        <v>0.90127659574468089</v>
      </c>
      <c r="AH15" s="37"/>
    </row>
    <row r="16" spans="1:34" x14ac:dyDescent="0.25">
      <c r="C16">
        <v>3600157</v>
      </c>
      <c r="D16" s="3">
        <v>25980</v>
      </c>
      <c r="E16">
        <v>11750</v>
      </c>
      <c r="F16">
        <v>10590</v>
      </c>
      <c r="G16" s="3">
        <f>Table3[[#This Row],[Price]]/Table3[[#This Row],[STC Watts]]</f>
        <v>2.2110638297872343</v>
      </c>
      <c r="H16">
        <v>1589</v>
      </c>
      <c r="I16" s="39">
        <f>Table3[[#This Row],[Theoretical Monthly Output]]/Table3[[#This Row],[STC Watts]]</f>
        <v>0.13523404255319149</v>
      </c>
      <c r="J16" s="20">
        <f>((H16*$D$3)/5)*(Table3[[#This Row],[PTC Watts]]/Table3[[#This Row],[STC Watts]])</f>
        <v>1288.915659574468</v>
      </c>
      <c r="K16">
        <v>50</v>
      </c>
      <c r="L16" s="6">
        <f t="shared" si="0"/>
        <v>29730</v>
      </c>
      <c r="M16" s="21">
        <f t="shared" si="14"/>
        <v>0.6039904684041556</v>
      </c>
      <c r="N16" s="8">
        <f t="shared" si="20"/>
        <v>1701.368670638298</v>
      </c>
      <c r="O16" s="9">
        <f t="shared" si="1"/>
        <v>17.474166835837099</v>
      </c>
      <c r="P16" s="11">
        <f t="shared" si="15"/>
        <v>34027.373412765963</v>
      </c>
      <c r="Q16" s="11">
        <f t="shared" si="16"/>
        <v>4297.3734127659627</v>
      </c>
      <c r="R16" s="11">
        <f t="shared" si="2"/>
        <v>12804.216765957453</v>
      </c>
      <c r="S16" s="11">
        <f t="shared" si="3"/>
        <v>21311.060119148944</v>
      </c>
      <c r="T16" s="11">
        <f t="shared" si="4"/>
        <v>29817.903472340433</v>
      </c>
      <c r="U16" s="11">
        <f t="shared" si="5"/>
        <v>38324.746825531925</v>
      </c>
      <c r="V16" s="11">
        <f t="shared" si="6"/>
        <v>46831.590178723411</v>
      </c>
      <c r="W16" s="11">
        <f t="shared" si="17"/>
        <v>-21223.156646808508</v>
      </c>
      <c r="X16" s="11">
        <f t="shared" si="7"/>
        <v>-12716.313293617019</v>
      </c>
      <c r="Y16" s="11">
        <f t="shared" si="8"/>
        <v>-4209.4699404255298</v>
      </c>
      <c r="Z16" s="11">
        <f t="shared" si="9"/>
        <v>4297.3734127659627</v>
      </c>
      <c r="AA16" s="11">
        <f t="shared" si="10"/>
        <v>12804.216765957448</v>
      </c>
      <c r="AB16" s="7">
        <f t="shared" si="18"/>
        <v>-0.94277266496339396</v>
      </c>
      <c r="AC16" s="7">
        <f t="shared" si="11"/>
        <v>-0.71386332481696968</v>
      </c>
      <c r="AD16" s="7">
        <f t="shared" si="12"/>
        <v>-0.42772664963393942</v>
      </c>
      <c r="AE16" s="7">
        <f t="shared" si="13"/>
        <v>0.43068337591515127</v>
      </c>
      <c r="AF16" s="50">
        <f t="shared" si="21"/>
        <v>1.5399859335922882E-2</v>
      </c>
      <c r="AG16">
        <f t="shared" si="19"/>
        <v>0.90127659574468089</v>
      </c>
      <c r="AH16" s="37"/>
    </row>
    <row r="17" spans="3:34" x14ac:dyDescent="0.25">
      <c r="C17" s="17">
        <v>1800152</v>
      </c>
      <c r="D17" s="3">
        <v>26755</v>
      </c>
      <c r="E17">
        <v>8460</v>
      </c>
      <c r="F17">
        <v>7625</v>
      </c>
      <c r="G17" s="3">
        <f>Table3[[#This Row],[Price]]/Table3[[#This Row],[STC Watts]]</f>
        <v>3.1625295508274234</v>
      </c>
      <c r="H17">
        <v>1143</v>
      </c>
      <c r="I17" s="39">
        <f>Table3[[#This Row],[Theoretical Monthly Output]]/Table3[[#This Row],[STC Watts]]</f>
        <v>0.1351063829787234</v>
      </c>
      <c r="J17" s="20">
        <f>((H17*$D$3)/5)*(Table3[[#This Row],[PTC Watts]]/Table3[[#This Row],[STC Watts]])</f>
        <v>927.16755319148945</v>
      </c>
      <c r="K17">
        <v>36</v>
      </c>
      <c r="L17" s="6">
        <f t="shared" si="0"/>
        <v>29455</v>
      </c>
      <c r="M17" s="21">
        <f t="shared" si="14"/>
        <v>0.43447401742806441</v>
      </c>
      <c r="N17" s="8">
        <f t="shared" si="20"/>
        <v>1223.8611702127662</v>
      </c>
      <c r="O17" s="9">
        <f t="shared" si="1"/>
        <v>24.06727226657522</v>
      </c>
      <c r="P17" s="11">
        <f t="shared" si="15"/>
        <v>24477.223404255325</v>
      </c>
      <c r="Q17" s="11">
        <f t="shared" si="16"/>
        <v>-4977.7765957446754</v>
      </c>
      <c r="R17" s="11">
        <f t="shared" si="2"/>
        <v>1141.5292553191557</v>
      </c>
      <c r="S17" s="11">
        <f t="shared" si="3"/>
        <v>7260.8351063829869</v>
      </c>
      <c r="T17" s="11">
        <f t="shared" si="4"/>
        <v>13380.140957446816</v>
      </c>
      <c r="U17" s="11">
        <f t="shared" si="5"/>
        <v>19499.446808510649</v>
      </c>
      <c r="V17" s="11">
        <f t="shared" si="6"/>
        <v>25618.752659574478</v>
      </c>
      <c r="W17" s="11">
        <f t="shared" si="17"/>
        <v>-23335.694148936171</v>
      </c>
      <c r="X17" s="11">
        <f t="shared" si="7"/>
        <v>-17216.388297872338</v>
      </c>
      <c r="Y17" s="11">
        <f t="shared" si="8"/>
        <v>-11097.082446808508</v>
      </c>
      <c r="Z17" s="11">
        <f t="shared" si="9"/>
        <v>-4977.7765957446754</v>
      </c>
      <c r="AA17" s="11">
        <f t="shared" si="10"/>
        <v>1141.5292553191539</v>
      </c>
      <c r="AB17" s="7">
        <f t="shared" si="18"/>
        <v>-0.9584497990082238</v>
      </c>
      <c r="AC17" s="7">
        <f t="shared" si="11"/>
        <v>-0.79224899504111934</v>
      </c>
      <c r="AD17" s="7">
        <f t="shared" si="12"/>
        <v>-0.58449799008223857</v>
      </c>
      <c r="AE17" s="7">
        <f t="shared" si="13"/>
        <v>3.8755024794403459E-2</v>
      </c>
      <c r="AF17" s="50">
        <f t="shared" si="21"/>
        <v>1.3857556705685256E-3</v>
      </c>
      <c r="AG17">
        <f t="shared" si="19"/>
        <v>0.90130023640661938</v>
      </c>
      <c r="AH17" s="37"/>
    </row>
    <row r="18" spans="3:34" x14ac:dyDescent="0.25">
      <c r="C18">
        <v>1049876</v>
      </c>
      <c r="D18" s="3">
        <v>24930</v>
      </c>
      <c r="E18">
        <v>12250</v>
      </c>
      <c r="F18">
        <v>11070</v>
      </c>
      <c r="G18" s="3">
        <f>Table3[[#This Row],[Price]]/Table3[[#This Row],[STC Watts]]</f>
        <v>2.0351020408163265</v>
      </c>
      <c r="H18">
        <v>1661</v>
      </c>
      <c r="I18" s="39">
        <f>Table3[[#This Row],[Theoretical Monthly Output]]/Table3[[#This Row],[STC Watts]]</f>
        <v>0.13559183673469388</v>
      </c>
      <c r="J18" s="20">
        <f>((H18*$D$3)/5)*(Table3[[#This Row],[PTC Watts]]/Table3[[#This Row],[STC Watts]])</f>
        <v>1350.901469387755</v>
      </c>
      <c r="K18">
        <v>50</v>
      </c>
      <c r="L18" s="6">
        <f t="shared" si="0"/>
        <v>28680</v>
      </c>
      <c r="M18" s="21">
        <f t="shared" si="14"/>
        <v>0.63303723963812319</v>
      </c>
      <c r="N18" s="8">
        <f t="shared" si="20"/>
        <v>1783.1899395918365</v>
      </c>
      <c r="O18" s="9">
        <f t="shared" si="1"/>
        <v>16.083536230899057</v>
      </c>
      <c r="P18" s="11">
        <f t="shared" si="15"/>
        <v>35663.798791836729</v>
      </c>
      <c r="Q18" s="11">
        <f t="shared" si="16"/>
        <v>6983.7987918367289</v>
      </c>
      <c r="R18" s="11">
        <f t="shared" si="2"/>
        <v>15899.748489795911</v>
      </c>
      <c r="S18" s="11">
        <f t="shared" si="3"/>
        <v>24815.698187755093</v>
      </c>
      <c r="T18" s="11">
        <f t="shared" si="4"/>
        <v>33731.647885714279</v>
      </c>
      <c r="U18" s="11">
        <f t="shared" si="5"/>
        <v>42647.597583673458</v>
      </c>
      <c r="V18" s="11">
        <f t="shared" si="6"/>
        <v>51563.547281632644</v>
      </c>
      <c r="W18" s="11">
        <f t="shared" si="17"/>
        <v>-19764.050302040818</v>
      </c>
      <c r="X18" s="11">
        <f t="shared" si="7"/>
        <v>-10848.100604081636</v>
      </c>
      <c r="Y18" s="11">
        <f t="shared" si="8"/>
        <v>-1932.1509061224533</v>
      </c>
      <c r="Z18" s="11">
        <f t="shared" si="9"/>
        <v>6983.7987918367289</v>
      </c>
      <c r="AA18" s="11">
        <f t="shared" si="10"/>
        <v>15899.748489795915</v>
      </c>
      <c r="AB18" s="7">
        <f t="shared" si="18"/>
        <v>-0.93782461856374344</v>
      </c>
      <c r="AC18" s="7">
        <f t="shared" si="11"/>
        <v>-0.68912309281871753</v>
      </c>
      <c r="AD18" s="7">
        <f t="shared" si="12"/>
        <v>-0.37824618563743501</v>
      </c>
      <c r="AE18" s="7">
        <f t="shared" si="13"/>
        <v>0.55438453590641268</v>
      </c>
      <c r="AF18" s="50">
        <f t="shared" si="21"/>
        <v>1.982301697349842E-2</v>
      </c>
      <c r="AG18">
        <f t="shared" si="19"/>
        <v>0.90367346938775506</v>
      </c>
      <c r="AH18" s="37"/>
    </row>
    <row r="19" spans="3:34" x14ac:dyDescent="0.25">
      <c r="C19">
        <v>3600023</v>
      </c>
      <c r="D19" s="3">
        <v>24820</v>
      </c>
      <c r="E19">
        <v>11750</v>
      </c>
      <c r="F19">
        <v>10450</v>
      </c>
      <c r="G19" s="3">
        <f>Table3[[#This Row],[Price]]/Table3[[#This Row],[STC Watts]]</f>
        <v>2.1123404255319147</v>
      </c>
      <c r="H19">
        <v>1567.5</v>
      </c>
      <c r="I19" s="39">
        <f>Table3[[#This Row],[Theoretical Monthly Output]]/Table3[[#This Row],[STC Watts]]</f>
        <v>0.13340425531914893</v>
      </c>
      <c r="J19" s="20">
        <f>((H19*$D$3)/5)*(Table3[[#This Row],[PTC Watts]]/Table3[[#This Row],[STC Watts]])</f>
        <v>1254.6670212765957</v>
      </c>
      <c r="K19">
        <v>50</v>
      </c>
      <c r="L19" s="6">
        <f t="shared" si="0"/>
        <v>28570</v>
      </c>
      <c r="M19" s="21">
        <f t="shared" si="14"/>
        <v>0.58794143452511516</v>
      </c>
      <c r="N19" s="8">
        <f t="shared" si="20"/>
        <v>1656.1604680851065</v>
      </c>
      <c r="O19" s="9">
        <f t="shared" si="1"/>
        <v>17.250743844304736</v>
      </c>
      <c r="P19" s="11">
        <f t="shared" si="15"/>
        <v>33123.209361702131</v>
      </c>
      <c r="Q19" s="11">
        <f t="shared" si="16"/>
        <v>4553.209361702131</v>
      </c>
      <c r="R19" s="11">
        <f t="shared" si="2"/>
        <v>12834.011702127664</v>
      </c>
      <c r="S19" s="11">
        <f t="shared" si="3"/>
        <v>21114.814042553196</v>
      </c>
      <c r="T19" s="11">
        <f t="shared" si="4"/>
        <v>29395.616382978729</v>
      </c>
      <c r="U19" s="11">
        <f t="shared" si="5"/>
        <v>37676.418723404262</v>
      </c>
      <c r="V19" s="11">
        <f t="shared" si="6"/>
        <v>45957.221063829791</v>
      </c>
      <c r="W19" s="11">
        <f t="shared" si="17"/>
        <v>-20289.197659574467</v>
      </c>
      <c r="X19" s="11">
        <f t="shared" si="7"/>
        <v>-12008.395319148935</v>
      </c>
      <c r="Y19" s="11">
        <f t="shared" si="8"/>
        <v>-3727.5929787234018</v>
      </c>
      <c r="Z19" s="11">
        <f t="shared" si="9"/>
        <v>4553.209361702131</v>
      </c>
      <c r="AA19" s="11">
        <f t="shared" si="10"/>
        <v>12834.01170212766</v>
      </c>
      <c r="AB19" s="7">
        <f t="shared" si="18"/>
        <v>-0.94203148519128088</v>
      </c>
      <c r="AC19" s="7">
        <f t="shared" si="11"/>
        <v>-0.71015742595640419</v>
      </c>
      <c r="AD19" s="7">
        <f t="shared" si="12"/>
        <v>-0.42031485191280837</v>
      </c>
      <c r="AE19" s="7">
        <f t="shared" si="13"/>
        <v>0.44921287021797901</v>
      </c>
      <c r="AF19" s="50">
        <f t="shared" si="21"/>
        <v>1.6062414757810232E-2</v>
      </c>
      <c r="AG19">
        <f t="shared" si="19"/>
        <v>0.88936170212765953</v>
      </c>
      <c r="AH19" s="37"/>
    </row>
    <row r="20" spans="3:34" x14ac:dyDescent="0.25">
      <c r="C20">
        <v>3600167</v>
      </c>
      <c r="D20" s="3">
        <v>23895</v>
      </c>
      <c r="E20">
        <v>12250</v>
      </c>
      <c r="F20">
        <v>11070</v>
      </c>
      <c r="G20" s="3">
        <f>Table3[[#This Row],[Price]]/Table3[[#This Row],[STC Watts]]</f>
        <v>1.9506122448979593</v>
      </c>
      <c r="H20">
        <v>1661</v>
      </c>
      <c r="I20" s="39">
        <f>Table3[[#This Row],[Theoretical Monthly Output]]/Table3[[#This Row],[STC Watts]]</f>
        <v>0.13559183673469388</v>
      </c>
      <c r="J20" s="20">
        <f>((H20*$D$3)/5)*(Table3[[#This Row],[PTC Watts]]/Table3[[#This Row],[STC Watts]])</f>
        <v>1350.901469387755</v>
      </c>
      <c r="K20">
        <v>50</v>
      </c>
      <c r="L20" s="6">
        <f t="shared" si="0"/>
        <v>27645</v>
      </c>
      <c r="M20" s="21">
        <f t="shared" si="14"/>
        <v>0.63303723963812319</v>
      </c>
      <c r="N20" s="8">
        <f t="shared" si="20"/>
        <v>1783.1899395918365</v>
      </c>
      <c r="O20" s="9">
        <f t="shared" si="1"/>
        <v>15.503115728842552</v>
      </c>
      <c r="P20" s="11">
        <f t="shared" si="15"/>
        <v>35663.798791836729</v>
      </c>
      <c r="Q20" s="11">
        <f t="shared" si="16"/>
        <v>8018.7987918367289</v>
      </c>
      <c r="R20" s="11">
        <f t="shared" si="2"/>
        <v>16934.748489795911</v>
      </c>
      <c r="S20" s="11">
        <f t="shared" si="3"/>
        <v>25850.698187755093</v>
      </c>
      <c r="T20" s="11">
        <f t="shared" si="4"/>
        <v>34766.647885714279</v>
      </c>
      <c r="U20" s="11">
        <f t="shared" si="5"/>
        <v>43682.597583673458</v>
      </c>
      <c r="V20" s="11">
        <f t="shared" si="6"/>
        <v>52598.547281632644</v>
      </c>
      <c r="W20" s="11">
        <f t="shared" si="17"/>
        <v>-18729.050302040818</v>
      </c>
      <c r="X20" s="11">
        <f t="shared" si="7"/>
        <v>-9813.1006040816355</v>
      </c>
      <c r="Y20" s="11">
        <f t="shared" si="8"/>
        <v>-897.15090612245331</v>
      </c>
      <c r="Z20" s="11">
        <f t="shared" si="9"/>
        <v>8018.7987918367289</v>
      </c>
      <c r="AA20" s="11">
        <f t="shared" si="10"/>
        <v>16934.748489795915</v>
      </c>
      <c r="AB20" s="7">
        <f t="shared" si="18"/>
        <v>-0.93549683705582065</v>
      </c>
      <c r="AC20" s="7">
        <f t="shared" si="11"/>
        <v>-0.67748418527910359</v>
      </c>
      <c r="AD20" s="7">
        <f t="shared" si="12"/>
        <v>-0.35496837055820712</v>
      </c>
      <c r="AE20" s="7">
        <f t="shared" si="13"/>
        <v>0.61257907360448238</v>
      </c>
      <c r="AF20" s="50">
        <f t="shared" si="21"/>
        <v>2.1903867419060759E-2</v>
      </c>
      <c r="AG20">
        <f t="shared" si="19"/>
        <v>0.90367346938775506</v>
      </c>
      <c r="AH20" s="37"/>
    </row>
    <row r="21" spans="3:34" x14ac:dyDescent="0.25">
      <c r="C21">
        <v>3610033</v>
      </c>
      <c r="D21" s="3">
        <v>23120</v>
      </c>
      <c r="E21">
        <v>9400</v>
      </c>
      <c r="F21">
        <v>8472</v>
      </c>
      <c r="G21" s="3">
        <f>Table3[[#This Row],[Price]]/Table3[[#This Row],[STC Watts]]</f>
        <v>2.4595744680851066</v>
      </c>
      <c r="H21">
        <v>1271</v>
      </c>
      <c r="I21" s="39">
        <f>Table3[[#This Row],[Theoretical Monthly Output]]/Table3[[#This Row],[STC Watts]]</f>
        <v>0.1352127659574468</v>
      </c>
      <c r="J21" s="20">
        <f>((H21*$D$3)/5)*(Table3[[#This Row],[PTC Watts]]/Table3[[#This Row],[STC Watts]])</f>
        <v>1030.9702978723406</v>
      </c>
      <c r="K21">
        <v>40</v>
      </c>
      <c r="L21" s="6">
        <f t="shared" si="0"/>
        <v>26120</v>
      </c>
      <c r="M21" s="21">
        <f t="shared" si="14"/>
        <v>0.4831163532672636</v>
      </c>
      <c r="N21" s="8">
        <f t="shared" si="20"/>
        <v>1360.8807931914896</v>
      </c>
      <c r="O21" s="9">
        <f t="shared" si="1"/>
        <v>19.193451866378609</v>
      </c>
      <c r="P21" s="11">
        <f t="shared" si="15"/>
        <v>27217.615863829793</v>
      </c>
      <c r="Q21" s="11">
        <f t="shared" si="16"/>
        <v>1097.6158638297929</v>
      </c>
      <c r="R21" s="11">
        <f t="shared" si="2"/>
        <v>7902.0198297872412</v>
      </c>
      <c r="S21" s="11">
        <f t="shared" si="3"/>
        <v>14706.423795744689</v>
      </c>
      <c r="T21" s="11">
        <f t="shared" si="4"/>
        <v>21510.827761702138</v>
      </c>
      <c r="U21" s="11">
        <f t="shared" si="5"/>
        <v>28315.231727659586</v>
      </c>
      <c r="V21" s="11">
        <f t="shared" si="6"/>
        <v>35119.635693617034</v>
      </c>
      <c r="W21" s="11">
        <f t="shared" si="17"/>
        <v>-19315.596034042552</v>
      </c>
      <c r="X21" s="11">
        <f t="shared" si="7"/>
        <v>-12511.192068085104</v>
      </c>
      <c r="Y21" s="11">
        <f t="shared" si="8"/>
        <v>-5706.7881021276553</v>
      </c>
      <c r="Z21" s="11">
        <f t="shared" si="9"/>
        <v>1097.6158638297929</v>
      </c>
      <c r="AA21" s="11">
        <f t="shared" si="10"/>
        <v>7902.0198297872412</v>
      </c>
      <c r="AB21" s="7">
        <f t="shared" si="18"/>
        <v>-0.94789889765729374</v>
      </c>
      <c r="AC21" s="7">
        <f t="shared" si="11"/>
        <v>-0.73949448828646824</v>
      </c>
      <c r="AD21" s="7">
        <f t="shared" si="12"/>
        <v>-0.4789889765729366</v>
      </c>
      <c r="AE21" s="7">
        <f t="shared" si="13"/>
        <v>0.30252755856765856</v>
      </c>
      <c r="AF21" s="50">
        <f t="shared" si="21"/>
        <v>1.0817417406192055E-2</v>
      </c>
      <c r="AG21">
        <f t="shared" si="19"/>
        <v>0.90127659574468089</v>
      </c>
      <c r="AH21" s="37"/>
    </row>
    <row r="22" spans="3:34" x14ac:dyDescent="0.25">
      <c r="C22" s="17">
        <v>5500102</v>
      </c>
      <c r="D22" s="3">
        <v>23350</v>
      </c>
      <c r="E22">
        <v>8640</v>
      </c>
      <c r="F22">
        <v>7851</v>
      </c>
      <c r="G22" s="3">
        <f>Table3[[#This Row],[Price]]/Table3[[#This Row],[STC Watts]]</f>
        <v>2.7025462962962963</v>
      </c>
      <c r="H22">
        <v>1177</v>
      </c>
      <c r="I22" s="39">
        <f>Table3[[#This Row],[Theoretical Monthly Output]]/Table3[[#This Row],[STC Watts]]</f>
        <v>0.13622685185185185</v>
      </c>
      <c r="J22" s="20">
        <f>((H22*$D$3)/5)*(Table3[[#This Row],[PTC Watts]]/Table3[[#This Row],[STC Watts]])</f>
        <v>962.5653125</v>
      </c>
      <c r="K22">
        <v>36</v>
      </c>
      <c r="L22" s="6">
        <f t="shared" si="0"/>
        <v>26050</v>
      </c>
      <c r="M22" s="21">
        <f t="shared" si="14"/>
        <v>0.45106153350515465</v>
      </c>
      <c r="N22" s="8">
        <f t="shared" si="20"/>
        <v>1270.5862125000001</v>
      </c>
      <c r="O22" s="9">
        <f t="shared" si="1"/>
        <v>20.502347454836716</v>
      </c>
      <c r="P22" s="11">
        <f t="shared" si="15"/>
        <v>25411.724250000003</v>
      </c>
      <c r="Q22" s="11">
        <f t="shared" si="16"/>
        <v>-638.27574999999706</v>
      </c>
      <c r="R22" s="11">
        <f t="shared" si="2"/>
        <v>5714.6553125000037</v>
      </c>
      <c r="S22" s="11">
        <f t="shared" si="3"/>
        <v>12067.586375000004</v>
      </c>
      <c r="T22" s="11">
        <f t="shared" si="4"/>
        <v>18420.517437500006</v>
      </c>
      <c r="U22" s="11">
        <f t="shared" si="5"/>
        <v>24773.448500000006</v>
      </c>
      <c r="V22" s="11">
        <f t="shared" si="6"/>
        <v>31126.379562500006</v>
      </c>
      <c r="W22" s="11">
        <f t="shared" si="17"/>
        <v>-19697.0689375</v>
      </c>
      <c r="X22" s="11">
        <f t="shared" si="7"/>
        <v>-13344.137874999999</v>
      </c>
      <c r="Y22" s="11">
        <f t="shared" si="8"/>
        <v>-6991.2068124999969</v>
      </c>
      <c r="Z22" s="11">
        <f t="shared" si="9"/>
        <v>-638.27574999999706</v>
      </c>
      <c r="AA22" s="11">
        <f t="shared" si="10"/>
        <v>5714.6553125000028</v>
      </c>
      <c r="AB22" s="7">
        <f t="shared" si="18"/>
        <v>-0.95122509740882921</v>
      </c>
      <c r="AC22" s="7">
        <f t="shared" si="11"/>
        <v>-0.75612548704414584</v>
      </c>
      <c r="AD22" s="7">
        <f t="shared" si="12"/>
        <v>-0.51225097408829168</v>
      </c>
      <c r="AE22" s="7">
        <f t="shared" si="13"/>
        <v>0.21937256477927075</v>
      </c>
      <c r="AF22" s="50">
        <f t="shared" si="21"/>
        <v>7.8440609242994286E-3</v>
      </c>
      <c r="AG22">
        <f t="shared" si="19"/>
        <v>0.9086805555555556</v>
      </c>
      <c r="AH22" s="37"/>
    </row>
    <row r="23" spans="3:34" x14ac:dyDescent="0.25">
      <c r="C23">
        <v>3600156</v>
      </c>
      <c r="D23" s="3">
        <v>22575</v>
      </c>
      <c r="E23">
        <v>10340</v>
      </c>
      <c r="F23">
        <v>9320</v>
      </c>
      <c r="G23" s="3">
        <f>Table3[[#This Row],[Price]]/Table3[[#This Row],[STC Watts]]</f>
        <v>2.1832688588007736</v>
      </c>
      <c r="H23">
        <v>1398</v>
      </c>
      <c r="I23" s="39">
        <f>Table3[[#This Row],[Theoretical Monthly Output]]/Table3[[#This Row],[STC Watts]]</f>
        <v>0.13520309477756287</v>
      </c>
      <c r="J23" s="20">
        <f>((H23*$D$3)/5)*(Table3[[#This Row],[PTC Watts]]/Table3[[#This Row],[STC Watts]])</f>
        <v>1134.0835589941973</v>
      </c>
      <c r="K23">
        <v>44</v>
      </c>
      <c r="L23" s="6">
        <f t="shared" si="0"/>
        <v>25875</v>
      </c>
      <c r="M23" s="21">
        <f t="shared" si="14"/>
        <v>0.53143559465520029</v>
      </c>
      <c r="N23" s="8">
        <f t="shared" si="20"/>
        <v>1496.9902978723408</v>
      </c>
      <c r="O23" s="9">
        <f t="shared" si="1"/>
        <v>17.284681161111006</v>
      </c>
      <c r="P23" s="11">
        <f t="shared" si="15"/>
        <v>29939.805957446813</v>
      </c>
      <c r="Q23" s="11">
        <f t="shared" si="16"/>
        <v>4064.8059574468134</v>
      </c>
      <c r="R23" s="11">
        <f t="shared" si="2"/>
        <v>11549.757446808517</v>
      </c>
      <c r="S23" s="11">
        <f t="shared" si="3"/>
        <v>19034.70893617022</v>
      </c>
      <c r="T23" s="11">
        <f t="shared" si="4"/>
        <v>26519.660425531925</v>
      </c>
      <c r="U23" s="11">
        <f t="shared" si="5"/>
        <v>34004.611914893627</v>
      </c>
      <c r="V23" s="11">
        <f t="shared" si="6"/>
        <v>41489.563404255336</v>
      </c>
      <c r="W23" s="11">
        <f t="shared" si="17"/>
        <v>-18390.048510638298</v>
      </c>
      <c r="X23" s="11">
        <f t="shared" si="7"/>
        <v>-10905.097021276593</v>
      </c>
      <c r="Y23" s="11">
        <f t="shared" si="8"/>
        <v>-3420.1455319148881</v>
      </c>
      <c r="Z23" s="11">
        <f t="shared" si="9"/>
        <v>4064.8059574468134</v>
      </c>
      <c r="AA23" s="11">
        <f t="shared" si="10"/>
        <v>11549.757446808522</v>
      </c>
      <c r="AB23" s="7">
        <f t="shared" si="18"/>
        <v>-0.94214530249768735</v>
      </c>
      <c r="AC23" s="7">
        <f t="shared" si="11"/>
        <v>-0.71072651248843666</v>
      </c>
      <c r="AD23" s="7">
        <f t="shared" si="12"/>
        <v>-0.42145302497687315</v>
      </c>
      <c r="AE23" s="7">
        <f t="shared" si="13"/>
        <v>0.44636743755781727</v>
      </c>
      <c r="AF23" s="50">
        <f t="shared" si="21"/>
        <v>1.5960671191267362E-2</v>
      </c>
      <c r="AG23">
        <f t="shared" si="19"/>
        <v>0.90135396518375244</v>
      </c>
      <c r="AH23" s="37"/>
    </row>
    <row r="24" spans="3:34" x14ac:dyDescent="0.25">
      <c r="C24">
        <v>3600065</v>
      </c>
      <c r="D24" s="3">
        <v>22083</v>
      </c>
      <c r="E24">
        <v>12000</v>
      </c>
      <c r="F24">
        <v>10905</v>
      </c>
      <c r="G24" s="3">
        <f>Table3[[#This Row],[Price]]/Table3[[#This Row],[STC Watts]]</f>
        <v>1.8402499999999999</v>
      </c>
      <c r="H24">
        <v>1635</v>
      </c>
      <c r="I24" s="39">
        <f>Table3[[#This Row],[Theoretical Monthly Output]]/Table3[[#This Row],[STC Watts]]</f>
        <v>0.13625000000000001</v>
      </c>
      <c r="J24" s="20">
        <f>((H24*$D$3)/5)*(Table3[[#This Row],[PTC Watts]]/Table3[[#This Row],[STC Watts]])</f>
        <v>1337.2256249999998</v>
      </c>
      <c r="K24">
        <v>50</v>
      </c>
      <c r="L24" s="6">
        <f t="shared" si="0"/>
        <v>25833</v>
      </c>
      <c r="M24" s="21">
        <f t="shared" si="14"/>
        <v>0.62662869025304579</v>
      </c>
      <c r="N24" s="8">
        <f t="shared" si="20"/>
        <v>1765.1378249999998</v>
      </c>
      <c r="O24" s="9">
        <f t="shared" si="1"/>
        <v>14.635117798804183</v>
      </c>
      <c r="P24" s="11">
        <f t="shared" si="15"/>
        <v>35302.756499999996</v>
      </c>
      <c r="Q24" s="11">
        <f t="shared" si="16"/>
        <v>9469.7564999999959</v>
      </c>
      <c r="R24" s="11">
        <f t="shared" si="2"/>
        <v>18295.445624999993</v>
      </c>
      <c r="S24" s="11">
        <f t="shared" si="3"/>
        <v>27121.134749999994</v>
      </c>
      <c r="T24" s="11">
        <f t="shared" si="4"/>
        <v>35946.823874999995</v>
      </c>
      <c r="U24" s="11">
        <f t="shared" si="5"/>
        <v>44772.512999999992</v>
      </c>
      <c r="V24" s="11">
        <f t="shared" si="6"/>
        <v>53598.202124999989</v>
      </c>
      <c r="W24" s="11">
        <f t="shared" si="17"/>
        <v>-17007.310875000003</v>
      </c>
      <c r="X24" s="11">
        <f t="shared" si="7"/>
        <v>-8181.6217500000021</v>
      </c>
      <c r="Y24" s="11">
        <f t="shared" si="8"/>
        <v>644.06737499999872</v>
      </c>
      <c r="Z24" s="11">
        <f t="shared" si="9"/>
        <v>9469.7564999999959</v>
      </c>
      <c r="AA24" s="11">
        <f t="shared" si="10"/>
        <v>18295.445624999993</v>
      </c>
      <c r="AB24" s="7">
        <f t="shared" si="18"/>
        <v>-0.93167120253164559</v>
      </c>
      <c r="AC24" s="7">
        <f t="shared" si="11"/>
        <v>-0.65835601265822796</v>
      </c>
      <c r="AD24" s="7">
        <f t="shared" si="12"/>
        <v>-0.31671202531645576</v>
      </c>
      <c r="AE24" s="7">
        <f t="shared" si="13"/>
        <v>0.70821993670886052</v>
      </c>
      <c r="AF24" s="50">
        <f t="shared" si="21"/>
        <v>2.5323678632911385E-2</v>
      </c>
      <c r="AG24">
        <f t="shared" si="19"/>
        <v>0.90874999999999995</v>
      </c>
      <c r="AH24" s="37"/>
    </row>
    <row r="25" spans="3:34" x14ac:dyDescent="0.25">
      <c r="C25">
        <v>3600166</v>
      </c>
      <c r="D25" s="3">
        <v>21275</v>
      </c>
      <c r="E25">
        <v>10780</v>
      </c>
      <c r="F25">
        <v>9742</v>
      </c>
      <c r="G25" s="3">
        <f>Table3[[#This Row],[Price]]/Table3[[#This Row],[STC Watts]]</f>
        <v>1.9735621521335807</v>
      </c>
      <c r="H25">
        <v>1461</v>
      </c>
      <c r="I25" s="39">
        <f>Table3[[#This Row],[Theoretical Monthly Output]]/Table3[[#This Row],[STC Watts]]</f>
        <v>0.13552875695732838</v>
      </c>
      <c r="J25" s="20">
        <f>((H25*$D$3)/5)*(Table3[[#This Row],[PTC Watts]]/Table3[[#This Row],[STC Watts]])</f>
        <v>1188.2890352504639</v>
      </c>
      <c r="K25">
        <v>44</v>
      </c>
      <c r="L25" s="6">
        <f t="shared" si="0"/>
        <v>24575</v>
      </c>
      <c r="M25" s="21">
        <f t="shared" si="14"/>
        <v>0.55683647387556889</v>
      </c>
      <c r="N25" s="8">
        <f t="shared" si="20"/>
        <v>1568.5415265306126</v>
      </c>
      <c r="O25" s="9">
        <f t="shared" si="1"/>
        <v>15.667420711746377</v>
      </c>
      <c r="P25" s="11">
        <f t="shared" si="15"/>
        <v>31370.830530612253</v>
      </c>
      <c r="Q25" s="11">
        <f t="shared" si="16"/>
        <v>6795.8305306122529</v>
      </c>
      <c r="R25" s="11">
        <f t="shared" si="2"/>
        <v>14638.538163265315</v>
      </c>
      <c r="S25" s="11">
        <f t="shared" si="3"/>
        <v>22481.245795918381</v>
      </c>
      <c r="T25" s="11">
        <f t="shared" si="4"/>
        <v>30323.953428571444</v>
      </c>
      <c r="U25" s="11">
        <f t="shared" si="5"/>
        <v>38166.661061224506</v>
      </c>
      <c r="V25" s="11">
        <f t="shared" si="6"/>
        <v>46009.368693877565</v>
      </c>
      <c r="W25" s="11">
        <f t="shared" si="17"/>
        <v>-16732.292367346938</v>
      </c>
      <c r="X25" s="11">
        <f t="shared" si="7"/>
        <v>-8889.5847346938735</v>
      </c>
      <c r="Y25" s="11">
        <f t="shared" si="8"/>
        <v>-1046.8771020408094</v>
      </c>
      <c r="Z25" s="11">
        <f t="shared" si="9"/>
        <v>6795.8305306122529</v>
      </c>
      <c r="AA25" s="11">
        <f t="shared" si="10"/>
        <v>14638.538163265315</v>
      </c>
      <c r="AB25" s="7">
        <f t="shared" si="18"/>
        <v>-0.93617328478003614</v>
      </c>
      <c r="AC25" s="7">
        <f t="shared" si="11"/>
        <v>-0.6808664239001806</v>
      </c>
      <c r="AD25" s="7">
        <f t="shared" si="12"/>
        <v>-0.36173284780036108</v>
      </c>
      <c r="AE25" s="7">
        <f t="shared" si="13"/>
        <v>0.59566788049909725</v>
      </c>
      <c r="AF25" s="50">
        <f t="shared" si="21"/>
        <v>2.129917726943012E-2</v>
      </c>
      <c r="AG25">
        <f t="shared" si="19"/>
        <v>0.90371057513914654</v>
      </c>
      <c r="AH25" s="37"/>
    </row>
    <row r="26" spans="3:34" x14ac:dyDescent="0.25">
      <c r="C26">
        <v>3600155</v>
      </c>
      <c r="D26" s="3">
        <v>21050</v>
      </c>
      <c r="E26">
        <v>9400</v>
      </c>
      <c r="F26">
        <v>8472</v>
      </c>
      <c r="G26" s="3">
        <f>Table3[[#This Row],[Price]]/Table3[[#This Row],[STC Watts]]</f>
        <v>2.2393617021276597</v>
      </c>
      <c r="H26">
        <v>1271</v>
      </c>
      <c r="I26" s="39">
        <f>Table3[[#This Row],[Theoretical Monthly Output]]/Table3[[#This Row],[STC Watts]]</f>
        <v>0.1352127659574468</v>
      </c>
      <c r="J26" s="20">
        <f>((H26*$D$3)/5)*(Table3[[#This Row],[PTC Watts]]/Table3[[#This Row],[STC Watts]])</f>
        <v>1030.9702978723406</v>
      </c>
      <c r="K26">
        <v>40</v>
      </c>
      <c r="L26" s="6">
        <f t="shared" si="0"/>
        <v>24050</v>
      </c>
      <c r="M26" s="21">
        <f t="shared" si="14"/>
        <v>0.4831163532672636</v>
      </c>
      <c r="N26" s="8">
        <f t="shared" si="20"/>
        <v>1360.8807931914896</v>
      </c>
      <c r="O26" s="9">
        <f t="shared" si="1"/>
        <v>17.672378154150291</v>
      </c>
      <c r="P26" s="11">
        <f t="shared" si="15"/>
        <v>27217.615863829793</v>
      </c>
      <c r="Q26" s="11">
        <f t="shared" si="16"/>
        <v>3167.6158638297929</v>
      </c>
      <c r="R26" s="11">
        <f t="shared" si="2"/>
        <v>9972.0198297872412</v>
      </c>
      <c r="S26" s="11">
        <f t="shared" si="3"/>
        <v>16776.423795744689</v>
      </c>
      <c r="T26" s="11">
        <f t="shared" si="4"/>
        <v>23580.827761702138</v>
      </c>
      <c r="U26" s="11">
        <f t="shared" si="5"/>
        <v>30385.231727659586</v>
      </c>
      <c r="V26" s="11">
        <f t="shared" si="6"/>
        <v>37189.635693617034</v>
      </c>
      <c r="W26" s="11">
        <f t="shared" si="17"/>
        <v>-17245.596034042552</v>
      </c>
      <c r="X26" s="11">
        <f t="shared" si="7"/>
        <v>-10441.192068085104</v>
      </c>
      <c r="Y26" s="11">
        <f t="shared" si="8"/>
        <v>-3636.7881021276553</v>
      </c>
      <c r="Z26" s="11">
        <f t="shared" si="9"/>
        <v>3167.6158638297929</v>
      </c>
      <c r="AA26" s="11">
        <f t="shared" si="10"/>
        <v>9972.0198297872412</v>
      </c>
      <c r="AB26" s="7">
        <f t="shared" si="18"/>
        <v>-0.94341452003361792</v>
      </c>
      <c r="AC26" s="7">
        <f t="shared" si="11"/>
        <v>-0.71707260016808949</v>
      </c>
      <c r="AD26" s="7">
        <f t="shared" si="12"/>
        <v>-0.43414520033617893</v>
      </c>
      <c r="AE26" s="7">
        <f t="shared" si="13"/>
        <v>0.41463699915955265</v>
      </c>
      <c r="AF26" s="50">
        <f t="shared" si="21"/>
        <v>1.4826092251548293E-2</v>
      </c>
      <c r="AG26">
        <f t="shared" si="19"/>
        <v>0.90127659574468089</v>
      </c>
      <c r="AH26" s="37"/>
    </row>
    <row r="27" spans="3:34" x14ac:dyDescent="0.25">
      <c r="C27">
        <v>3600064</v>
      </c>
      <c r="D27" s="3">
        <v>20204</v>
      </c>
      <c r="E27">
        <v>10560</v>
      </c>
      <c r="F27">
        <v>9596</v>
      </c>
      <c r="G27" s="3">
        <f>Table3[[#This Row],[Price]]/Table3[[#This Row],[STC Watts]]</f>
        <v>1.9132575757575758</v>
      </c>
      <c r="H27">
        <v>1439</v>
      </c>
      <c r="I27" s="39">
        <f>Table3[[#This Row],[Theoretical Monthly Output]]/Table3[[#This Row],[STC Watts]]</f>
        <v>0.13626893939393939</v>
      </c>
      <c r="J27" s="20">
        <f>((H27*$D$3)/5)*(Table3[[#This Row],[PTC Watts]]/Table3[[#This Row],[STC Watts]])</f>
        <v>1176.8730681818181</v>
      </c>
      <c r="K27">
        <v>44</v>
      </c>
      <c r="L27" s="6">
        <f t="shared" si="0"/>
        <v>23504</v>
      </c>
      <c r="M27" s="21">
        <f t="shared" si="14"/>
        <v>0.55148691105052394</v>
      </c>
      <c r="N27" s="8">
        <f t="shared" si="20"/>
        <v>1553.47245</v>
      </c>
      <c r="O27" s="9">
        <f t="shared" si="1"/>
        <v>15.129975430204764</v>
      </c>
      <c r="P27" s="11">
        <f t="shared" si="15"/>
        <v>31069.449000000001</v>
      </c>
      <c r="Q27" s="11">
        <f t="shared" si="16"/>
        <v>7565.4490000000005</v>
      </c>
      <c r="R27" s="11">
        <f t="shared" si="2"/>
        <v>15332.811250000001</v>
      </c>
      <c r="S27" s="11">
        <f t="shared" si="3"/>
        <v>23100.173500000001</v>
      </c>
      <c r="T27" s="11">
        <f t="shared" si="4"/>
        <v>30867.535749999999</v>
      </c>
      <c r="U27" s="11">
        <f t="shared" si="5"/>
        <v>38634.898000000001</v>
      </c>
      <c r="V27" s="11">
        <f t="shared" si="6"/>
        <v>46402.260249999999</v>
      </c>
      <c r="W27" s="11">
        <f t="shared" si="17"/>
        <v>-15736.63775</v>
      </c>
      <c r="X27" s="11">
        <f t="shared" si="7"/>
        <v>-7969.2754999999997</v>
      </c>
      <c r="Y27" s="11">
        <f t="shared" si="8"/>
        <v>-201.91325000000143</v>
      </c>
      <c r="Z27" s="11">
        <f t="shared" si="9"/>
        <v>7565.4490000000005</v>
      </c>
      <c r="AA27" s="11">
        <f t="shared" si="10"/>
        <v>15332.811249999999</v>
      </c>
      <c r="AB27" s="7">
        <f t="shared" si="18"/>
        <v>-0.93390603939754935</v>
      </c>
      <c r="AC27" s="7">
        <f t="shared" si="11"/>
        <v>-0.66953019698774674</v>
      </c>
      <c r="AD27" s="7">
        <f t="shared" si="12"/>
        <v>-0.33906039397549353</v>
      </c>
      <c r="AE27" s="7">
        <f t="shared" si="13"/>
        <v>0.65234901506126608</v>
      </c>
      <c r="AF27" s="50">
        <f t="shared" si="21"/>
        <v>2.332591326174268E-2</v>
      </c>
      <c r="AG27">
        <f t="shared" si="19"/>
        <v>0.90871212121212119</v>
      </c>
      <c r="AH27" s="37"/>
    </row>
    <row r="28" spans="3:34" x14ac:dyDescent="0.25">
      <c r="C28">
        <v>3610022</v>
      </c>
      <c r="D28" s="3">
        <v>20420</v>
      </c>
      <c r="E28">
        <v>9400</v>
      </c>
      <c r="F28">
        <v>8360</v>
      </c>
      <c r="G28" s="3">
        <f>Table3[[#This Row],[Price]]/Table3[[#This Row],[STC Watts]]</f>
        <v>2.1723404255319148</v>
      </c>
      <c r="H28">
        <v>1254</v>
      </c>
      <c r="I28" s="39">
        <f>Table3[[#This Row],[Theoretical Monthly Output]]/Table3[[#This Row],[STC Watts]]</f>
        <v>0.13340425531914893</v>
      </c>
      <c r="J28" s="20">
        <f>((H28*$D$3)/5)*(Table3[[#This Row],[PTC Watts]]/Table3[[#This Row],[STC Watts]])</f>
        <v>1003.7336170212765</v>
      </c>
      <c r="K28">
        <v>40</v>
      </c>
      <c r="L28" s="6">
        <f t="shared" si="0"/>
        <v>23420</v>
      </c>
      <c r="M28" s="21">
        <f>J28/$B$10</f>
        <v>0.47035314762009206</v>
      </c>
      <c r="N28" s="8">
        <f t="shared" si="20"/>
        <v>1324.9283744680849</v>
      </c>
      <c r="O28" s="9">
        <f t="shared" si="1"/>
        <v>17.676427232832385</v>
      </c>
      <c r="P28" s="11">
        <f t="shared" si="15"/>
        <v>26498.5674893617</v>
      </c>
      <c r="Q28" s="11">
        <f t="shared" si="16"/>
        <v>3078.5674893616997</v>
      </c>
      <c r="R28" s="11">
        <f t="shared" si="2"/>
        <v>9703.2093617021237</v>
      </c>
      <c r="S28" s="11">
        <f t="shared" si="3"/>
        <v>16327.85123404255</v>
      </c>
      <c r="T28" s="11">
        <f t="shared" si="4"/>
        <v>22952.493106382975</v>
      </c>
      <c r="U28" s="11">
        <f t="shared" si="5"/>
        <v>29577.134978723399</v>
      </c>
      <c r="V28" s="11">
        <f t="shared" si="6"/>
        <v>36201.776851063827</v>
      </c>
      <c r="W28" s="11">
        <f t="shared" si="17"/>
        <v>-16795.358127659576</v>
      </c>
      <c r="X28" s="11">
        <f t="shared" si="7"/>
        <v>-10170.71625531915</v>
      </c>
      <c r="Y28" s="11">
        <f t="shared" si="8"/>
        <v>-3546.0743829787243</v>
      </c>
      <c r="Z28" s="11">
        <f t="shared" si="9"/>
        <v>3078.5674893616997</v>
      </c>
      <c r="AA28" s="11">
        <f t="shared" si="10"/>
        <v>9703.2093617021237</v>
      </c>
      <c r="AB28" s="7">
        <f t="shared" si="18"/>
        <v>-0.94342748187582903</v>
      </c>
      <c r="AC28" s="7">
        <f t="shared" si="11"/>
        <v>-0.71713740937914505</v>
      </c>
      <c r="AD28" s="7">
        <f t="shared" si="12"/>
        <v>-0.43427481875828994</v>
      </c>
      <c r="AE28" s="7">
        <f t="shared" si="13"/>
        <v>0.41431295310427513</v>
      </c>
      <c r="AF28" s="50">
        <f t="shared" si="21"/>
        <v>1.4814505401558944E-2</v>
      </c>
      <c r="AG28">
        <f t="shared" si="19"/>
        <v>0.88936170212765953</v>
      </c>
      <c r="AH28" s="37"/>
    </row>
    <row r="29" spans="3:34" x14ac:dyDescent="0.25">
      <c r="C29">
        <v>1049875</v>
      </c>
      <c r="D29" s="3">
        <v>20295</v>
      </c>
      <c r="E29">
        <v>9800</v>
      </c>
      <c r="F29">
        <v>8856</v>
      </c>
      <c r="G29" s="3">
        <f>Table3[[#This Row],[Price]]/Table3[[#This Row],[STC Watts]]</f>
        <v>2.0709183673469389</v>
      </c>
      <c r="H29">
        <v>1328</v>
      </c>
      <c r="I29" s="39">
        <f>Table3[[#This Row],[Theoretical Monthly Output]]/Table3[[#This Row],[STC Watts]]</f>
        <v>0.13551020408163264</v>
      </c>
      <c r="J29" s="20">
        <f>((H29*$D$3)/5)*(Table3[[#This Row],[PTC Watts]]/Table3[[#This Row],[STC Watts]])</f>
        <v>1080.070530612245</v>
      </c>
      <c r="K29">
        <v>40</v>
      </c>
      <c r="L29" s="6">
        <f t="shared" si="0"/>
        <v>23295</v>
      </c>
      <c r="M29" s="21">
        <f t="shared" si="14"/>
        <v>0.50612489719411669</v>
      </c>
      <c r="N29" s="8">
        <f t="shared" si="20"/>
        <v>1425.6931004081634</v>
      </c>
      <c r="O29" s="9">
        <f t="shared" si="1"/>
        <v>16.339421151249763</v>
      </c>
      <c r="P29" s="11">
        <f t="shared" si="15"/>
        <v>28513.862008163269</v>
      </c>
      <c r="Q29" s="11">
        <f t="shared" si="16"/>
        <v>5218.8620081632689</v>
      </c>
      <c r="R29" s="11">
        <f t="shared" si="2"/>
        <v>12347.327510204086</v>
      </c>
      <c r="S29" s="11">
        <f t="shared" si="3"/>
        <v>19475.793012244903</v>
      </c>
      <c r="T29" s="11">
        <f t="shared" si="4"/>
        <v>26604.258514285721</v>
      </c>
      <c r="U29" s="11">
        <f t="shared" si="5"/>
        <v>33732.724016326538</v>
      </c>
      <c r="V29" s="11">
        <f t="shared" si="6"/>
        <v>40861.189518367355</v>
      </c>
      <c r="W29" s="11">
        <f t="shared" si="17"/>
        <v>-16166.534497959183</v>
      </c>
      <c r="X29" s="11">
        <f t="shared" si="7"/>
        <v>-9038.0689959183655</v>
      </c>
      <c r="Y29" s="11">
        <f t="shared" si="8"/>
        <v>-1909.6034938775483</v>
      </c>
      <c r="Z29" s="11">
        <f t="shared" si="9"/>
        <v>5218.8620081632689</v>
      </c>
      <c r="AA29" s="11">
        <f t="shared" si="10"/>
        <v>12347.327510204086</v>
      </c>
      <c r="AB29" s="7">
        <f t="shared" si="18"/>
        <v>-0.93879832151070342</v>
      </c>
      <c r="AC29" s="7">
        <f t="shared" si="11"/>
        <v>-0.69399160755351719</v>
      </c>
      <c r="AD29" s="7">
        <f t="shared" si="12"/>
        <v>-0.38798321510703437</v>
      </c>
      <c r="AE29" s="7">
        <f t="shared" si="13"/>
        <v>0.53004196223241407</v>
      </c>
      <c r="AF29" s="50">
        <f t="shared" si="21"/>
        <v>1.8952604435151985E-2</v>
      </c>
      <c r="AG29">
        <f t="shared" si="19"/>
        <v>0.90367346938775506</v>
      </c>
      <c r="AH29" s="37"/>
    </row>
    <row r="30" spans="3:34" x14ac:dyDescent="0.25">
      <c r="C30">
        <v>3600165</v>
      </c>
      <c r="D30" s="3">
        <v>19850</v>
      </c>
      <c r="E30">
        <v>9800</v>
      </c>
      <c r="F30">
        <v>8856</v>
      </c>
      <c r="G30" s="3">
        <f>Table3[[#This Row],[Price]]/Table3[[#This Row],[STC Watts]]</f>
        <v>2.0255102040816326</v>
      </c>
      <c r="H30">
        <v>1328</v>
      </c>
      <c r="I30" s="39">
        <f>Table3[[#This Row],[Theoretical Monthly Output]]/Table3[[#This Row],[STC Watts]]</f>
        <v>0.13551020408163264</v>
      </c>
      <c r="J30" s="20">
        <f>((H30*$D$3)/5)*(Table3[[#This Row],[PTC Watts]]/Table3[[#This Row],[STC Watts]])</f>
        <v>1080.070530612245</v>
      </c>
      <c r="K30">
        <v>40</v>
      </c>
      <c r="L30" s="6">
        <f t="shared" si="0"/>
        <v>22850</v>
      </c>
      <c r="M30" s="21">
        <f t="shared" si="14"/>
        <v>0.50612489719411669</v>
      </c>
      <c r="N30" s="8">
        <f t="shared" si="20"/>
        <v>1425.6931004081634</v>
      </c>
      <c r="O30" s="9">
        <f t="shared" si="1"/>
        <v>16.027292264694445</v>
      </c>
      <c r="P30" s="11">
        <f t="shared" si="15"/>
        <v>28513.862008163269</v>
      </c>
      <c r="Q30" s="11">
        <f t="shared" si="16"/>
        <v>5663.8620081632689</v>
      </c>
      <c r="R30" s="11">
        <f t="shared" si="2"/>
        <v>12792.327510204086</v>
      </c>
      <c r="S30" s="11">
        <f t="shared" si="3"/>
        <v>19920.793012244903</v>
      </c>
      <c r="T30" s="11">
        <f t="shared" si="4"/>
        <v>27049.258514285721</v>
      </c>
      <c r="U30" s="11">
        <f t="shared" si="5"/>
        <v>34177.724016326538</v>
      </c>
      <c r="V30" s="11">
        <f t="shared" si="6"/>
        <v>41306.189518367355</v>
      </c>
      <c r="W30" s="11">
        <f t="shared" si="17"/>
        <v>-15721.534497959183</v>
      </c>
      <c r="X30" s="11">
        <f t="shared" si="7"/>
        <v>-8593.0689959183655</v>
      </c>
      <c r="Y30" s="11">
        <f t="shared" si="8"/>
        <v>-1464.6034938775483</v>
      </c>
      <c r="Z30" s="11">
        <f t="shared" si="9"/>
        <v>5663.8620081632689</v>
      </c>
      <c r="AA30" s="11">
        <f t="shared" si="10"/>
        <v>12792.327510204086</v>
      </c>
      <c r="AB30" s="7">
        <f t="shared" si="18"/>
        <v>-0.93760642886616352</v>
      </c>
      <c r="AC30" s="7">
        <f t="shared" si="11"/>
        <v>-0.68803214433081761</v>
      </c>
      <c r="AD30" s="7">
        <f t="shared" si="12"/>
        <v>-0.37606428866163527</v>
      </c>
      <c r="AE30" s="7">
        <f t="shared" si="13"/>
        <v>0.55983927834591185</v>
      </c>
      <c r="AF30" s="50">
        <f t="shared" si="21"/>
        <v>2.0018061107959104E-2</v>
      </c>
      <c r="AG30">
        <f t="shared" si="19"/>
        <v>0.90367346938775506</v>
      </c>
      <c r="AH30" s="37"/>
    </row>
    <row r="31" spans="3:34" x14ac:dyDescent="0.25">
      <c r="C31">
        <v>3600116</v>
      </c>
      <c r="D31" s="3">
        <v>19350</v>
      </c>
      <c r="E31">
        <v>8460</v>
      </c>
      <c r="F31">
        <v>7625</v>
      </c>
      <c r="G31" s="3">
        <f>Table3[[#This Row],[Price]]/Table3[[#This Row],[STC Watts]]</f>
        <v>2.2872340425531914</v>
      </c>
      <c r="H31">
        <v>1144</v>
      </c>
      <c r="I31" s="39">
        <f>Table3[[#This Row],[Theoretical Monthly Output]]/Table3[[#This Row],[STC Watts]]</f>
        <v>0.13522458628841608</v>
      </c>
      <c r="J31" s="20">
        <f>((H31*$D$3)/5)*(Table3[[#This Row],[PTC Watts]]/Table3[[#This Row],[STC Watts]])</f>
        <v>927.97872340425522</v>
      </c>
      <c r="K31">
        <v>36</v>
      </c>
      <c r="L31" s="6">
        <f t="shared" si="0"/>
        <v>22050</v>
      </c>
      <c r="M31" s="21">
        <f t="shared" si="14"/>
        <v>0.43485413467865758</v>
      </c>
      <c r="N31" s="8">
        <f t="shared" si="20"/>
        <v>1224.931914893617</v>
      </c>
      <c r="O31" s="9">
        <f t="shared" si="1"/>
        <v>18.001000489823141</v>
      </c>
      <c r="P31" s="11">
        <f t="shared" si="15"/>
        <v>24498.638297872341</v>
      </c>
      <c r="Q31" s="11">
        <f t="shared" si="16"/>
        <v>2448.6382978723414</v>
      </c>
      <c r="R31" s="11">
        <f t="shared" si="2"/>
        <v>8573.2978723404267</v>
      </c>
      <c r="S31" s="11">
        <f t="shared" si="3"/>
        <v>14697.957446808512</v>
      </c>
      <c r="T31" s="11">
        <f t="shared" si="4"/>
        <v>20822.617021276597</v>
      </c>
      <c r="U31" s="11">
        <f t="shared" si="5"/>
        <v>26947.276595744683</v>
      </c>
      <c r="V31" s="11">
        <f t="shared" si="6"/>
        <v>33071.936170212764</v>
      </c>
      <c r="W31" s="11">
        <f t="shared" si="17"/>
        <v>-15925.340425531915</v>
      </c>
      <c r="X31" s="11">
        <f t="shared" si="7"/>
        <v>-9800.6808510638293</v>
      </c>
      <c r="Y31" s="11">
        <f t="shared" si="8"/>
        <v>-3676.021276595744</v>
      </c>
      <c r="Z31" s="11">
        <f t="shared" si="9"/>
        <v>2448.6382978723414</v>
      </c>
      <c r="AA31" s="11">
        <f t="shared" si="10"/>
        <v>8573.2978723404231</v>
      </c>
      <c r="AB31" s="7">
        <f t="shared" si="18"/>
        <v>-0.94444753220437117</v>
      </c>
      <c r="AC31" s="7">
        <f t="shared" si="11"/>
        <v>-0.72223766102185549</v>
      </c>
      <c r="AD31" s="7">
        <f t="shared" si="12"/>
        <v>-0.4444753220437111</v>
      </c>
      <c r="AE31" s="7">
        <f t="shared" si="13"/>
        <v>0.38881169489072215</v>
      </c>
      <c r="AF31" s="50">
        <f t="shared" si="21"/>
        <v>1.3902662011868575E-2</v>
      </c>
      <c r="AG31">
        <f t="shared" si="19"/>
        <v>0.90130023640661938</v>
      </c>
      <c r="AH31" s="37"/>
    </row>
    <row r="32" spans="3:34" x14ac:dyDescent="0.25">
      <c r="C32">
        <v>3600063</v>
      </c>
      <c r="D32" s="3">
        <v>18944</v>
      </c>
      <c r="E32">
        <v>9600</v>
      </c>
      <c r="F32">
        <v>8724</v>
      </c>
      <c r="G32" s="3">
        <f>Table3[[#This Row],[Price]]/Table3[[#This Row],[STC Watts]]</f>
        <v>1.9733333333333334</v>
      </c>
      <c r="H32">
        <v>1308</v>
      </c>
      <c r="I32" s="39">
        <f>Table3[[#This Row],[Theoretical Monthly Output]]/Table3[[#This Row],[STC Watts]]</f>
        <v>0.13625000000000001</v>
      </c>
      <c r="J32" s="20">
        <f>((H32*$D$3)/5)*(Table3[[#This Row],[PTC Watts]]/Table3[[#This Row],[STC Watts]])</f>
        <v>1069.7805000000001</v>
      </c>
      <c r="K32">
        <v>40</v>
      </c>
      <c r="L32" s="6">
        <f t="shared" si="0"/>
        <v>21944</v>
      </c>
      <c r="M32" s="21">
        <f t="shared" si="14"/>
        <v>0.50130295220243681</v>
      </c>
      <c r="N32" s="8">
        <f t="shared" si="20"/>
        <v>1412.1102600000002</v>
      </c>
      <c r="O32" s="9">
        <f t="shared" si="1"/>
        <v>15.53986301324657</v>
      </c>
      <c r="P32" s="11">
        <f t="shared" si="15"/>
        <v>28242.205200000004</v>
      </c>
      <c r="Q32" s="11">
        <f t="shared" si="16"/>
        <v>6298.205200000004</v>
      </c>
      <c r="R32" s="11">
        <f t="shared" si="2"/>
        <v>13358.756500000005</v>
      </c>
      <c r="S32" s="11">
        <f t="shared" si="3"/>
        <v>20419.307800000006</v>
      </c>
      <c r="T32" s="11">
        <f t="shared" si="4"/>
        <v>27479.859100000005</v>
      </c>
      <c r="U32" s="11">
        <f t="shared" si="5"/>
        <v>34540.410400000008</v>
      </c>
      <c r="V32" s="11">
        <f t="shared" si="6"/>
        <v>41600.961700000007</v>
      </c>
      <c r="W32" s="11">
        <f t="shared" si="17"/>
        <v>-14883.448699999999</v>
      </c>
      <c r="X32" s="11">
        <f t="shared" si="7"/>
        <v>-7822.897399999998</v>
      </c>
      <c r="Y32" s="11">
        <f t="shared" si="8"/>
        <v>-762.34609999999884</v>
      </c>
      <c r="Z32" s="11">
        <f t="shared" si="9"/>
        <v>6298.205200000004</v>
      </c>
      <c r="AA32" s="11">
        <f t="shared" si="10"/>
        <v>13358.756500000003</v>
      </c>
      <c r="AB32" s="7">
        <f t="shared" si="18"/>
        <v>-0.9356493683922712</v>
      </c>
      <c r="AC32" s="7">
        <f t="shared" si="11"/>
        <v>-0.6782468419613561</v>
      </c>
      <c r="AD32" s="7">
        <f t="shared" si="12"/>
        <v>-0.35649368392271225</v>
      </c>
      <c r="AE32" s="7">
        <f t="shared" si="13"/>
        <v>0.60876579019321919</v>
      </c>
      <c r="AF32" s="50">
        <f t="shared" si="21"/>
        <v>2.17675166067809E-2</v>
      </c>
      <c r="AG32">
        <f t="shared" si="19"/>
        <v>0.90874999999999995</v>
      </c>
      <c r="AH32" s="37"/>
    </row>
    <row r="33" spans="2:34" x14ac:dyDescent="0.25">
      <c r="C33">
        <v>3600164</v>
      </c>
      <c r="D33" s="3">
        <v>18325</v>
      </c>
      <c r="E33">
        <v>8820</v>
      </c>
      <c r="F33">
        <v>7970</v>
      </c>
      <c r="G33" s="3">
        <f>Table3[[#This Row],[Price]]/Table3[[#This Row],[STC Watts]]</f>
        <v>2.0776643990929706</v>
      </c>
      <c r="H33">
        <v>1196</v>
      </c>
      <c r="I33" s="39">
        <f>Table3[[#This Row],[Theoretical Monthly Output]]/Table3[[#This Row],[STC Watts]]</f>
        <v>0.13560090702947847</v>
      </c>
      <c r="J33" s="20">
        <f>((H33*$D$3)/5)*(Table3[[#This Row],[PTC Watts]]/Table3[[#This Row],[STC Watts]])</f>
        <v>972.66530612244912</v>
      </c>
      <c r="K33">
        <v>36</v>
      </c>
      <c r="L33" s="6">
        <f t="shared" si="0"/>
        <v>21025</v>
      </c>
      <c r="M33" s="21">
        <f t="shared" si="14"/>
        <v>0.45579442648662094</v>
      </c>
      <c r="N33" s="8">
        <f t="shared" si="20"/>
        <v>1283.9182040816329</v>
      </c>
      <c r="O33" s="9">
        <f t="shared" si="1"/>
        <v>16.375653786324232</v>
      </c>
      <c r="P33" s="11">
        <f t="shared" si="15"/>
        <v>25678.364081632659</v>
      </c>
      <c r="Q33" s="11">
        <f t="shared" si="16"/>
        <v>4653.3640816326588</v>
      </c>
      <c r="R33" s="11">
        <f t="shared" si="2"/>
        <v>11072.955102040823</v>
      </c>
      <c r="S33" s="11">
        <f t="shared" si="3"/>
        <v>17492.546122448988</v>
      </c>
      <c r="T33" s="11">
        <f t="shared" si="4"/>
        <v>23912.137142857151</v>
      </c>
      <c r="U33" s="11">
        <f t="shared" si="5"/>
        <v>30331.728163265318</v>
      </c>
      <c r="V33" s="11">
        <f t="shared" si="6"/>
        <v>36751.319183673477</v>
      </c>
      <c r="W33" s="11">
        <f t="shared" si="17"/>
        <v>-14605.408979591835</v>
      </c>
      <c r="X33" s="11">
        <f t="shared" si="7"/>
        <v>-8185.8179591836706</v>
      </c>
      <c r="Y33" s="11">
        <f t="shared" si="8"/>
        <v>-1766.2269387755077</v>
      </c>
      <c r="Z33" s="11">
        <f t="shared" si="9"/>
        <v>4653.3640816326588</v>
      </c>
      <c r="AA33" s="11">
        <f t="shared" si="10"/>
        <v>11072.955102040822</v>
      </c>
      <c r="AB33" s="7">
        <f t="shared" si="18"/>
        <v>-0.93893373583440509</v>
      </c>
      <c r="AC33" s="7">
        <f t="shared" si="11"/>
        <v>-0.69466867917202546</v>
      </c>
      <c r="AD33" s="7">
        <f t="shared" si="12"/>
        <v>-0.38933735834405092</v>
      </c>
      <c r="AE33" s="7">
        <f t="shared" si="13"/>
        <v>0.52665660413987259</v>
      </c>
      <c r="AF33" s="50">
        <f t="shared" si="21"/>
        <v>1.8831554862908596E-2</v>
      </c>
      <c r="AG33">
        <f t="shared" si="19"/>
        <v>0.90362811791383224</v>
      </c>
      <c r="AH33" s="37"/>
    </row>
    <row r="34" spans="2:34" x14ac:dyDescent="0.25">
      <c r="C34">
        <v>3600062</v>
      </c>
      <c r="D34" s="3">
        <v>17193</v>
      </c>
      <c r="E34">
        <v>8640</v>
      </c>
      <c r="F34">
        <v>7851.6</v>
      </c>
      <c r="G34" s="3">
        <f>Table3[[#This Row],[Price]]/Table3[[#This Row],[STC Watts]]</f>
        <v>1.9899305555555555</v>
      </c>
      <c r="H34">
        <v>1177</v>
      </c>
      <c r="I34" s="39">
        <f>Table3[[#This Row],[Theoretical Monthly Output]]/Table3[[#This Row],[STC Watts]]</f>
        <v>0.13622685185185185</v>
      </c>
      <c r="J34" s="20">
        <f>((H34*$D$3)/5)*(Table3[[#This Row],[PTC Watts]]/Table3[[#This Row],[STC Watts]])</f>
        <v>962.63887499999998</v>
      </c>
      <c r="K34">
        <v>36</v>
      </c>
      <c r="L34" s="6">
        <f t="shared" si="0"/>
        <v>19893</v>
      </c>
      <c r="M34" s="21">
        <f t="shared" si="14"/>
        <v>0.45109600515463916</v>
      </c>
      <c r="N34" s="8">
        <f t="shared" si="20"/>
        <v>1270.683315</v>
      </c>
      <c r="O34" s="9">
        <f t="shared" si="1"/>
        <v>15.655356267899055</v>
      </c>
      <c r="P34" s="11">
        <f t="shared" si="15"/>
        <v>25413.666300000001</v>
      </c>
      <c r="Q34" s="11">
        <f t="shared" si="16"/>
        <v>5520.6663000000008</v>
      </c>
      <c r="R34" s="11">
        <f t="shared" si="2"/>
        <v>11874.082875</v>
      </c>
      <c r="S34" s="11">
        <f t="shared" si="3"/>
        <v>18227.499450000003</v>
      </c>
      <c r="T34" s="11">
        <f t="shared" si="4"/>
        <v>24580.916025000002</v>
      </c>
      <c r="U34" s="11">
        <f t="shared" si="5"/>
        <v>30934.332600000002</v>
      </c>
      <c r="V34" s="11">
        <f t="shared" si="6"/>
        <v>37287.749175000004</v>
      </c>
      <c r="W34" s="11">
        <f t="shared" si="17"/>
        <v>-13539.583425000001</v>
      </c>
      <c r="X34" s="11">
        <f t="shared" si="7"/>
        <v>-7186.1668499999996</v>
      </c>
      <c r="Y34" s="11">
        <f t="shared" si="8"/>
        <v>-832.75027499999851</v>
      </c>
      <c r="Z34" s="11">
        <f t="shared" si="9"/>
        <v>5520.6663000000008</v>
      </c>
      <c r="AA34" s="11">
        <f t="shared" si="10"/>
        <v>11874.082875</v>
      </c>
      <c r="AB34" s="7">
        <f t="shared" si="18"/>
        <v>-0.93612409817523756</v>
      </c>
      <c r="AC34" s="7">
        <f t="shared" si="11"/>
        <v>-0.68062049087618759</v>
      </c>
      <c r="AD34" s="7">
        <f t="shared" si="12"/>
        <v>-0.36124098175237518</v>
      </c>
      <c r="AE34" s="7">
        <f t="shared" si="13"/>
        <v>0.59689754561906194</v>
      </c>
      <c r="AF34" s="50">
        <f t="shared" si="21"/>
        <v>2.1343146159191678E-2</v>
      </c>
      <c r="AG34">
        <f t="shared" si="19"/>
        <v>0.90875000000000006</v>
      </c>
      <c r="AH34" s="37"/>
    </row>
    <row r="35" spans="2:34" x14ac:dyDescent="0.25">
      <c r="C35">
        <v>3600115</v>
      </c>
      <c r="D35" s="3">
        <v>16350</v>
      </c>
      <c r="E35">
        <v>7050</v>
      </c>
      <c r="F35">
        <v>6354</v>
      </c>
      <c r="G35" s="3">
        <f>Table3[[#This Row],[Price]]/Table3[[#This Row],[STC Watts]]</f>
        <v>2.3191489361702127</v>
      </c>
      <c r="H35">
        <v>953</v>
      </c>
      <c r="I35" s="39">
        <f>Table3[[#This Row],[Theoretical Monthly Output]]/Table3[[#This Row],[STC Watts]]</f>
        <v>0.135177304964539</v>
      </c>
      <c r="J35" s="20">
        <f>((H35*$D$3)/5)*(Table3[[#This Row],[PTC Watts]]/Table3[[#This Row],[STC Watts]])</f>
        <v>773.02493617021287</v>
      </c>
      <c r="K35">
        <v>30</v>
      </c>
      <c r="L35" s="6">
        <f t="shared" si="0"/>
        <v>18600</v>
      </c>
      <c r="M35" s="21">
        <f t="shared" si="14"/>
        <v>0.36224223813037154</v>
      </c>
      <c r="N35" s="8">
        <f t="shared" si="20"/>
        <v>1020.392915744681</v>
      </c>
      <c r="O35" s="9">
        <f t="shared" si="1"/>
        <v>18.22827237723985</v>
      </c>
      <c r="P35" s="11">
        <f t="shared" si="15"/>
        <v>20407.85831489362</v>
      </c>
      <c r="Q35" s="11">
        <f t="shared" si="16"/>
        <v>1807.8583148936195</v>
      </c>
      <c r="R35" s="11">
        <f t="shared" si="2"/>
        <v>6909.8228936170244</v>
      </c>
      <c r="S35" s="11">
        <f t="shared" si="3"/>
        <v>12011.787472340429</v>
      </c>
      <c r="T35" s="11">
        <f t="shared" si="4"/>
        <v>17113.752051063835</v>
      </c>
      <c r="U35" s="11">
        <f t="shared" si="5"/>
        <v>22215.716629787239</v>
      </c>
      <c r="V35" s="11">
        <f t="shared" si="6"/>
        <v>27317.681208510643</v>
      </c>
      <c r="W35" s="11">
        <f t="shared" si="17"/>
        <v>-13498.035421276596</v>
      </c>
      <c r="X35" s="11">
        <f t="shared" si="7"/>
        <v>-8396.0708425531902</v>
      </c>
      <c r="Y35" s="11">
        <f t="shared" si="8"/>
        <v>-3294.1062638297844</v>
      </c>
      <c r="Z35" s="11">
        <f t="shared" si="9"/>
        <v>1807.8583148936195</v>
      </c>
      <c r="AA35" s="11">
        <f t="shared" si="10"/>
        <v>6909.8228936170235</v>
      </c>
      <c r="AB35" s="7">
        <f t="shared" si="18"/>
        <v>-0.94514016582017846</v>
      </c>
      <c r="AC35" s="7">
        <f t="shared" si="11"/>
        <v>-0.72570082910089229</v>
      </c>
      <c r="AD35" s="7">
        <f t="shared" si="12"/>
        <v>-0.45140165820178441</v>
      </c>
      <c r="AE35" s="7">
        <f t="shared" si="13"/>
        <v>0.3714958544955389</v>
      </c>
      <c r="AF35" s="50">
        <f t="shared" si="21"/>
        <v>1.3283502970026086E-2</v>
      </c>
      <c r="AG35">
        <f t="shared" si="19"/>
        <v>0.90127659574468089</v>
      </c>
      <c r="AH35" s="37"/>
    </row>
    <row r="36" spans="2:34" x14ac:dyDescent="0.25">
      <c r="C36">
        <v>3600163</v>
      </c>
      <c r="D36" s="3">
        <v>15000</v>
      </c>
      <c r="E36">
        <v>7350</v>
      </c>
      <c r="F36">
        <v>6642</v>
      </c>
      <c r="G36" s="3">
        <f>Table3[[#This Row],[Price]]/Table3[[#This Row],[STC Watts]]</f>
        <v>2.0408163265306123</v>
      </c>
      <c r="H36">
        <v>996</v>
      </c>
      <c r="I36" s="39">
        <f>Table3[[#This Row],[Theoretical Monthly Output]]/Table3[[#This Row],[STC Watts]]</f>
        <v>0.13551020408163264</v>
      </c>
      <c r="J36" s="20">
        <f>((H36*$D$3)/5)*(Table3[[#This Row],[PTC Watts]]/Table3[[#This Row],[STC Watts]])</f>
        <v>810.05289795918361</v>
      </c>
      <c r="K36">
        <v>30</v>
      </c>
      <c r="L36" s="6">
        <f t="shared" si="0"/>
        <v>17250</v>
      </c>
      <c r="M36" s="21">
        <f t="shared" si="14"/>
        <v>0.37959367289558743</v>
      </c>
      <c r="N36" s="8">
        <f t="shared" si="20"/>
        <v>1069.2698253061224</v>
      </c>
      <c r="O36" s="9">
        <f t="shared" si="1"/>
        <v>16.13250424892658</v>
      </c>
      <c r="P36" s="11">
        <f t="shared" si="15"/>
        <v>21385.396506122448</v>
      </c>
      <c r="Q36" s="11">
        <f t="shared" si="16"/>
        <v>4135.396506122448</v>
      </c>
      <c r="R36" s="11">
        <f t="shared" si="2"/>
        <v>9481.7456326530591</v>
      </c>
      <c r="S36" s="11">
        <f t="shared" si="3"/>
        <v>14828.094759183672</v>
      </c>
      <c r="T36" s="11">
        <f t="shared" si="4"/>
        <v>20174.443885714281</v>
      </c>
      <c r="U36" s="11">
        <f t="shared" si="5"/>
        <v>25520.793012244896</v>
      </c>
      <c r="V36" s="11">
        <f t="shared" si="6"/>
        <v>30867.142138775507</v>
      </c>
      <c r="W36" s="11">
        <f t="shared" si="17"/>
        <v>-11903.650873469389</v>
      </c>
      <c r="X36" s="11">
        <f t="shared" si="7"/>
        <v>-6557.301746938776</v>
      </c>
      <c r="Y36" s="11">
        <f t="shared" si="8"/>
        <v>-1210.9526204081649</v>
      </c>
      <c r="Z36" s="11">
        <f t="shared" si="9"/>
        <v>4135.396506122448</v>
      </c>
      <c r="AA36" s="11">
        <f t="shared" si="10"/>
        <v>9481.7456326530591</v>
      </c>
      <c r="AB36" s="7">
        <f t="shared" si="18"/>
        <v>-0.93801334346051468</v>
      </c>
      <c r="AC36" s="7">
        <f t="shared" si="11"/>
        <v>-0.6900667173025733</v>
      </c>
      <c r="AD36" s="7">
        <f t="shared" si="12"/>
        <v>-0.38013343460514643</v>
      </c>
      <c r="AE36" s="7">
        <f t="shared" si="13"/>
        <v>0.54966641348713385</v>
      </c>
      <c r="AF36" s="50">
        <f t="shared" si="21"/>
        <v>1.9654312013776747E-2</v>
      </c>
      <c r="AG36">
        <f t="shared" si="19"/>
        <v>0.90367346938775506</v>
      </c>
      <c r="AH36" s="37"/>
    </row>
    <row r="37" spans="2:34" x14ac:dyDescent="0.25">
      <c r="C37" s="18">
        <v>3600061</v>
      </c>
      <c r="D37" s="19">
        <v>14338</v>
      </c>
      <c r="E37" s="18">
        <v>7200</v>
      </c>
      <c r="F37" s="18">
        <v>6543</v>
      </c>
      <c r="G37" s="3">
        <f>Table3[[#This Row],[Price]]/Table3[[#This Row],[STC Watts]]</f>
        <v>1.9913888888888889</v>
      </c>
      <c r="H37" s="18">
        <v>981</v>
      </c>
      <c r="I37" s="46">
        <f>Table3[[#This Row],[Theoretical Monthly Output]]/Table3[[#This Row],[STC Watts]]</f>
        <v>0.13625000000000001</v>
      </c>
      <c r="J37">
        <f>((H37*$D$3)/5)*(Table3[[#This Row],[PTC Watts]]/Table3[[#This Row],[STC Watts]])</f>
        <v>802.33537499999989</v>
      </c>
      <c r="K37" s="18">
        <v>30</v>
      </c>
      <c r="L37" s="6">
        <f t="shared" si="0"/>
        <v>16588</v>
      </c>
      <c r="M37" s="7">
        <f t="shared" si="14"/>
        <v>0.3759772141518275</v>
      </c>
      <c r="N37" s="8">
        <f>($B$10*$D$2*12)*M37</f>
        <v>1059.0826949999998</v>
      </c>
      <c r="O37" s="9">
        <f t="shared" si="1"/>
        <v>15.662610746368586</v>
      </c>
      <c r="P37" s="11">
        <f t="shared" si="15"/>
        <v>21181.653899999998</v>
      </c>
      <c r="Q37" s="11">
        <f t="shared" si="16"/>
        <v>4593.6538999999975</v>
      </c>
      <c r="R37" s="11">
        <f t="shared" si="2"/>
        <v>9889.0673749999969</v>
      </c>
      <c r="S37" s="11">
        <f t="shared" si="3"/>
        <v>15184.480849999996</v>
      </c>
      <c r="T37" s="11">
        <f t="shared" si="4"/>
        <v>20479.894324999994</v>
      </c>
      <c r="U37" s="11">
        <f t="shared" si="5"/>
        <v>25775.307799999995</v>
      </c>
      <c r="V37" s="11">
        <f t="shared" si="6"/>
        <v>31070.721274999993</v>
      </c>
      <c r="W37" s="11">
        <f t="shared" si="17"/>
        <v>-11292.586525000001</v>
      </c>
      <c r="X37" s="11">
        <f t="shared" si="7"/>
        <v>-5997.1730500000012</v>
      </c>
      <c r="Y37" s="11">
        <f t="shared" si="8"/>
        <v>-701.75957500000186</v>
      </c>
      <c r="Z37" s="11">
        <f t="shared" si="9"/>
        <v>4593.6538999999975</v>
      </c>
      <c r="AA37" s="11">
        <f t="shared" si="10"/>
        <v>9889.0673749999951</v>
      </c>
      <c r="AB37" s="7">
        <f t="shared" si="18"/>
        <v>-0.93615368368700269</v>
      </c>
      <c r="AC37" s="7">
        <f t="shared" si="11"/>
        <v>-0.68076841843501334</v>
      </c>
      <c r="AD37" s="7">
        <f t="shared" si="12"/>
        <v>-0.36153683687002658</v>
      </c>
      <c r="AE37" s="7">
        <f t="shared" si="13"/>
        <v>0.59615790782493339</v>
      </c>
      <c r="AF37" s="50">
        <f t="shared" si="21"/>
        <v>2.1316699078514578E-2</v>
      </c>
      <c r="AG37">
        <f t="shared" si="19"/>
        <v>0.90874999999999995</v>
      </c>
      <c r="AH37" s="37"/>
    </row>
    <row r="38" spans="2:34" x14ac:dyDescent="0.25">
      <c r="C38">
        <v>3600032</v>
      </c>
      <c r="D38" s="3">
        <v>13750</v>
      </c>
      <c r="E38">
        <v>5640</v>
      </c>
      <c r="F38">
        <v>5083</v>
      </c>
      <c r="G38" s="3">
        <f>Table3[[#This Row],[Price]]/Table3[[#This Row],[STC Watts]]</f>
        <v>2.4379432624113475</v>
      </c>
      <c r="H38">
        <v>762.5</v>
      </c>
      <c r="I38" s="39">
        <f>Table3[[#This Row],[Theoretical Monthly Output]]/Table3[[#This Row],[STC Watts]]</f>
        <v>0.1351950354609929</v>
      </c>
      <c r="J38" s="20">
        <f>((H38*$D$3)/5)*(Table3[[#This Row],[PTC Watts]]/Table3[[#This Row],[STC Watts]])</f>
        <v>618.47672872340422</v>
      </c>
      <c r="K38">
        <v>24</v>
      </c>
      <c r="L38" s="6">
        <f t="shared" si="0"/>
        <v>15550</v>
      </c>
      <c r="M38" s="21">
        <f t="shared" si="14"/>
        <v>0.28982039771480983</v>
      </c>
      <c r="N38" s="8">
        <f t="shared" si="20"/>
        <v>816.38928191489356</v>
      </c>
      <c r="O38" s="9">
        <f t="shared" si="1"/>
        <v>19.047285828552862</v>
      </c>
      <c r="P38" s="11">
        <f t="shared" si="15"/>
        <v>16327.785638297872</v>
      </c>
      <c r="Q38" s="11">
        <f t="shared" si="16"/>
        <v>777.78563829787163</v>
      </c>
      <c r="R38" s="11">
        <f t="shared" si="2"/>
        <v>4859.7320478723395</v>
      </c>
      <c r="S38" s="11">
        <f t="shared" si="3"/>
        <v>8941.6784574468074</v>
      </c>
      <c r="T38" s="11">
        <f t="shared" si="4"/>
        <v>13023.624867021275</v>
      </c>
      <c r="U38" s="11">
        <f t="shared" si="5"/>
        <v>17105.571276595743</v>
      </c>
      <c r="V38" s="11">
        <f t="shared" si="6"/>
        <v>21187.517686170209</v>
      </c>
      <c r="W38" s="11">
        <f t="shared" si="17"/>
        <v>-11468.053590425532</v>
      </c>
      <c r="X38" s="11">
        <f t="shared" si="7"/>
        <v>-7386.1071808510642</v>
      </c>
      <c r="Y38" s="11">
        <f t="shared" si="8"/>
        <v>-3304.1607712765963</v>
      </c>
      <c r="Z38" s="11">
        <f t="shared" si="9"/>
        <v>777.78563829787163</v>
      </c>
      <c r="AA38" s="11">
        <f t="shared" si="10"/>
        <v>4859.7320478723377</v>
      </c>
      <c r="AB38" s="7">
        <f t="shared" si="18"/>
        <v>-0.94749908154888152</v>
      </c>
      <c r="AC38" s="7">
        <f t="shared" si="11"/>
        <v>-0.73749540774440725</v>
      </c>
      <c r="AD38" s="7">
        <f t="shared" si="12"/>
        <v>-0.47499081548881444</v>
      </c>
      <c r="AE38" s="7">
        <f t="shared" si="13"/>
        <v>0.31252296127796386</v>
      </c>
      <c r="AF38" s="50">
        <f t="shared" si="21"/>
        <v>1.1174821021823898E-2</v>
      </c>
      <c r="AG38">
        <f t="shared" si="19"/>
        <v>0.90124113475177303</v>
      </c>
      <c r="AH38" s="37"/>
    </row>
    <row r="39" spans="2:34" x14ac:dyDescent="0.25">
      <c r="C39">
        <v>3600114</v>
      </c>
      <c r="D39" s="3">
        <v>13215</v>
      </c>
      <c r="E39">
        <v>5640</v>
      </c>
      <c r="F39">
        <v>5083</v>
      </c>
      <c r="G39" s="3">
        <f>Table3[[#This Row],[Price]]/Table3[[#This Row],[STC Watts]]</f>
        <v>2.3430851063829787</v>
      </c>
      <c r="H39">
        <v>762</v>
      </c>
      <c r="I39" s="39">
        <f>Table3[[#This Row],[Theoretical Monthly Output]]/Table3[[#This Row],[STC Watts]]</f>
        <v>0.1351063829787234</v>
      </c>
      <c r="J39" s="20">
        <f>((H39*$D$3)/5)*(Table3[[#This Row],[PTC Watts]]/Table3[[#This Row],[STC Watts]])</f>
        <v>618.07117021276588</v>
      </c>
      <c r="K39">
        <v>24</v>
      </c>
      <c r="L39" s="6">
        <f t="shared" ref="L39:L70" si="22">D39+(K39*75)</f>
        <v>15015</v>
      </c>
      <c r="M39" s="21">
        <f t="shared" ref="M39:M67" si="23">J39/$B$10</f>
        <v>0.28963035155237388</v>
      </c>
      <c r="N39" s="8">
        <f t="shared" ref="N39:N67" si="24">($B$10*$D$2*12)*M39</f>
        <v>815.85394468085099</v>
      </c>
      <c r="O39" s="9">
        <f t="shared" ref="O39:O67" si="25">L39/N39</f>
        <v>18.40402941959621</v>
      </c>
      <c r="P39" s="11">
        <f t="shared" ref="P39:P67" si="26">N39*20</f>
        <v>16317.078893617019</v>
      </c>
      <c r="Q39" s="11">
        <f t="shared" ref="Q39:Q67" si="27">P39-L39</f>
        <v>1302.0788936170193</v>
      </c>
      <c r="R39" s="11">
        <f t="shared" ref="R39:R67" si="28">Q39+(N39*5)</f>
        <v>5381.3486170212745</v>
      </c>
      <c r="S39" s="11">
        <f t="shared" ref="S39:S67" si="29">Q39+(N39*10)</f>
        <v>9460.618340425528</v>
      </c>
      <c r="T39" s="11">
        <f t="shared" ref="T39:T67" si="30">Q39+(N39*15)</f>
        <v>13539.888063829783</v>
      </c>
      <c r="U39" s="11">
        <f t="shared" ref="U39:U67" si="31">Q39+(N39*20)</f>
        <v>17619.157787234039</v>
      </c>
      <c r="V39" s="11">
        <f t="shared" ref="V39:V67" si="32">Q39+(N39*25)</f>
        <v>21698.427510638292</v>
      </c>
      <c r="W39" s="11">
        <f t="shared" ref="W39:W67" si="33">(N39*5)-L39</f>
        <v>-10935.730276595745</v>
      </c>
      <c r="X39" s="11">
        <f t="shared" ref="X39:X67" si="34">(N39*10)-L39</f>
        <v>-6856.4605531914904</v>
      </c>
      <c r="Y39" s="11">
        <f t="shared" ref="Y39:Y67" si="35">(N39*15)-L39</f>
        <v>-2777.190829787236</v>
      </c>
      <c r="Z39" s="11">
        <f t="shared" ref="Z39:Z67" si="36">(N39*20)-L39</f>
        <v>1302.0788936170193</v>
      </c>
      <c r="AA39" s="11">
        <f t="shared" ref="AA39:AA67" si="37">(N39*25)-L39</f>
        <v>5381.3486170212745</v>
      </c>
      <c r="AB39" s="7">
        <f t="shared" ref="AB39:AB67" si="38">(N39-L39)/L39</f>
        <v>-0.94566407294832822</v>
      </c>
      <c r="AC39" s="7">
        <f t="shared" ref="AC39:AC67" si="39">(($N39*5)-$L39)/$L39</f>
        <v>-0.7283203647416413</v>
      </c>
      <c r="AD39" s="7">
        <f t="shared" ref="AD39:AD67" si="40">(($N39*10)-$L39)/$L39</f>
        <v>-0.45664072948328271</v>
      </c>
      <c r="AE39" s="7">
        <f t="shared" ref="AE39:AE67" si="41">(($N39*25)-$L39)/$L39</f>
        <v>0.35839817629179316</v>
      </c>
      <c r="AF39" s="50">
        <f t="shared" ref="AF39:AF67" si="42">(((($N39*25)-$L39)/$L39)/25)*(0.89392)</f>
        <v>1.281517191003039E-2</v>
      </c>
      <c r="AG39">
        <f t="shared" ref="AG39:AG67" si="43">F39/E39</f>
        <v>0.90124113475177303</v>
      </c>
      <c r="AH39" s="37"/>
    </row>
    <row r="40" spans="2:34" x14ac:dyDescent="0.25">
      <c r="C40">
        <v>1</v>
      </c>
      <c r="D40" s="3">
        <v>15000</v>
      </c>
      <c r="E40">
        <v>14000</v>
      </c>
      <c r="F40">
        <v>12600</v>
      </c>
      <c r="G40" s="3">
        <f>Table3[[#This Row],[Price]]/Table3[[#This Row],[STC Watts]]</f>
        <v>1.0714285714285714</v>
      </c>
      <c r="H40">
        <v>1897</v>
      </c>
      <c r="I40" s="39">
        <f>Table3[[#This Row],[Theoretical Monthly Output]]/Table3[[#This Row],[STC Watts]]</f>
        <v>0.13550000000000001</v>
      </c>
      <c r="J40" s="20">
        <f>((H40*$D$3)/5)*(Table3[[#This Row],[PTC Watts]]/Table3[[#This Row],[STC Watts]])</f>
        <v>1536.57</v>
      </c>
      <c r="K40">
        <v>24</v>
      </c>
      <c r="L40" s="28">
        <f t="shared" si="22"/>
        <v>16800</v>
      </c>
      <c r="M40" s="29">
        <f>J40/$B$10</f>
        <v>0.72004217432052475</v>
      </c>
      <c r="N40" s="30">
        <f>($B$10*$D$2*12)*M40</f>
        <v>2028.2723999999998</v>
      </c>
      <c r="O40" s="9">
        <f>L40/N40</f>
        <v>8.2829111119394021</v>
      </c>
      <c r="P40" s="11">
        <f t="shared" si="26"/>
        <v>40565.447999999997</v>
      </c>
      <c r="Q40" s="11">
        <f t="shared" si="27"/>
        <v>23765.447999999997</v>
      </c>
      <c r="R40" s="11">
        <f t="shared" si="28"/>
        <v>33906.81</v>
      </c>
      <c r="S40" s="11">
        <f t="shared" si="29"/>
        <v>44048.171999999991</v>
      </c>
      <c r="T40" s="11">
        <f t="shared" si="30"/>
        <v>54189.533999999992</v>
      </c>
      <c r="U40" s="11">
        <f t="shared" si="31"/>
        <v>64330.895999999993</v>
      </c>
      <c r="V40" s="11">
        <f t="shared" si="32"/>
        <v>74472.258000000002</v>
      </c>
      <c r="W40" s="11">
        <f t="shared" si="33"/>
        <v>-6658.6380000000008</v>
      </c>
      <c r="X40" s="11">
        <f t="shared" si="34"/>
        <v>3482.7239999999983</v>
      </c>
      <c r="Y40" s="11">
        <f t="shared" si="35"/>
        <v>13624.085999999996</v>
      </c>
      <c r="Z40" s="11">
        <f t="shared" si="36"/>
        <v>23765.447999999997</v>
      </c>
      <c r="AA40" s="11">
        <f>(N40*25)-L40</f>
        <v>33906.81</v>
      </c>
      <c r="AB40" s="7">
        <f t="shared" si="38"/>
        <v>-0.87926950000000004</v>
      </c>
      <c r="AC40" s="7">
        <f t="shared" si="39"/>
        <v>-0.39634750000000007</v>
      </c>
      <c r="AD40" s="7">
        <f t="shared" si="40"/>
        <v>0.20730499999999991</v>
      </c>
      <c r="AE40" s="7">
        <f t="shared" si="41"/>
        <v>2.0182625000000001</v>
      </c>
      <c r="AF40" s="31">
        <f t="shared" si="42"/>
        <v>7.2166608559999998E-2</v>
      </c>
      <c r="AG40">
        <f t="shared" si="43"/>
        <v>0.9</v>
      </c>
      <c r="AH40" s="37"/>
    </row>
    <row r="41" spans="2:34" x14ac:dyDescent="0.25">
      <c r="C41">
        <v>1049877</v>
      </c>
      <c r="D41" s="3">
        <v>12850</v>
      </c>
      <c r="E41">
        <v>5880</v>
      </c>
      <c r="F41">
        <v>5314</v>
      </c>
      <c r="G41" s="3">
        <f>Table3[[#This Row],[Price]]/Table3[[#This Row],[STC Watts]]</f>
        <v>2.185374149659864</v>
      </c>
      <c r="H41">
        <v>797</v>
      </c>
      <c r="I41" s="39">
        <f>Table3[[#This Row],[Theoretical Monthly Output]]/Table3[[#This Row],[STC Watts]]</f>
        <v>0.13554421768707484</v>
      </c>
      <c r="J41" s="20">
        <f>((H41*$D$3)/5)*(Table3[[#This Row],[PTC Watts]]/Table3[[#This Row],[STC Watts]])</f>
        <v>648.25377551020404</v>
      </c>
      <c r="K41">
        <v>24</v>
      </c>
      <c r="L41" s="6">
        <f t="shared" si="22"/>
        <v>14650</v>
      </c>
      <c r="M41" s="21">
        <f t="shared" si="23"/>
        <v>0.30377402788669355</v>
      </c>
      <c r="N41" s="8">
        <f t="shared" si="24"/>
        <v>855.69498367346932</v>
      </c>
      <c r="O41" s="9">
        <f t="shared" si="25"/>
        <v>17.120586516831093</v>
      </c>
      <c r="P41" s="11">
        <f t="shared" si="26"/>
        <v>17113.899673469386</v>
      </c>
      <c r="Q41" s="11">
        <f t="shared" si="27"/>
        <v>2463.8996734693865</v>
      </c>
      <c r="R41" s="11">
        <f t="shared" si="28"/>
        <v>6742.3745918367331</v>
      </c>
      <c r="S41" s="11">
        <f t="shared" si="29"/>
        <v>11020.84951020408</v>
      </c>
      <c r="T41" s="11">
        <f t="shared" si="30"/>
        <v>15299.324428571426</v>
      </c>
      <c r="U41" s="11">
        <f t="shared" si="31"/>
        <v>19577.799346938773</v>
      </c>
      <c r="V41" s="11">
        <f t="shared" si="32"/>
        <v>23856.274265306121</v>
      </c>
      <c r="W41" s="11">
        <f t="shared" si="33"/>
        <v>-10371.525081632653</v>
      </c>
      <c r="X41" s="11">
        <f t="shared" si="34"/>
        <v>-6093.0501632653068</v>
      </c>
      <c r="Y41" s="11">
        <f t="shared" si="35"/>
        <v>-1814.5752448979601</v>
      </c>
      <c r="Z41" s="11">
        <f t="shared" si="36"/>
        <v>2463.8996734693865</v>
      </c>
      <c r="AA41" s="11">
        <f t="shared" si="37"/>
        <v>6742.3745918367349</v>
      </c>
      <c r="AB41" s="7">
        <f t="shared" si="38"/>
        <v>-0.94159078609737412</v>
      </c>
      <c r="AC41" s="7">
        <f t="shared" si="39"/>
        <v>-0.7079539304868705</v>
      </c>
      <c r="AD41" s="7">
        <f t="shared" si="40"/>
        <v>-0.41590786097374105</v>
      </c>
      <c r="AE41" s="7">
        <f t="shared" si="41"/>
        <v>0.46023034756564746</v>
      </c>
      <c r="AF41" s="50">
        <f t="shared" si="42"/>
        <v>1.6456364491835344E-2</v>
      </c>
      <c r="AG41">
        <f t="shared" si="43"/>
        <v>0.90374149659863945</v>
      </c>
      <c r="AH41" s="37"/>
    </row>
    <row r="42" spans="2:34" x14ac:dyDescent="0.25">
      <c r="C42">
        <v>3600162</v>
      </c>
      <c r="D42" s="3">
        <v>12175</v>
      </c>
      <c r="E42">
        <v>5880</v>
      </c>
      <c r="F42">
        <v>5314</v>
      </c>
      <c r="G42" s="3">
        <f>Table3[[#This Row],[Price]]/Table3[[#This Row],[STC Watts]]</f>
        <v>2.0705782312925169</v>
      </c>
      <c r="H42">
        <v>797</v>
      </c>
      <c r="I42" s="39">
        <f>Table3[[#This Row],[Theoretical Monthly Output]]/Table3[[#This Row],[STC Watts]]</f>
        <v>0.13554421768707484</v>
      </c>
      <c r="J42" s="20">
        <f>((H42*$D$3)/5)*(Table3[[#This Row],[PTC Watts]]/Table3[[#This Row],[STC Watts]])</f>
        <v>648.25377551020404</v>
      </c>
      <c r="K42">
        <v>24</v>
      </c>
      <c r="L42" s="6">
        <f t="shared" si="22"/>
        <v>13975</v>
      </c>
      <c r="M42" s="21">
        <f t="shared" si="23"/>
        <v>0.30377402788669355</v>
      </c>
      <c r="N42" s="8">
        <f t="shared" si="24"/>
        <v>855.69498367346932</v>
      </c>
      <c r="O42" s="9">
        <f t="shared" si="25"/>
        <v>16.331754032267202</v>
      </c>
      <c r="P42" s="11">
        <f t="shared" si="26"/>
        <v>17113.899673469386</v>
      </c>
      <c r="Q42" s="11">
        <f t="shared" si="27"/>
        <v>3138.8996734693865</v>
      </c>
      <c r="R42" s="11">
        <f t="shared" si="28"/>
        <v>7417.3745918367331</v>
      </c>
      <c r="S42" s="11">
        <f t="shared" si="29"/>
        <v>11695.84951020408</v>
      </c>
      <c r="T42" s="11">
        <f t="shared" si="30"/>
        <v>15974.324428571426</v>
      </c>
      <c r="U42" s="11">
        <f t="shared" si="31"/>
        <v>20252.799346938773</v>
      </c>
      <c r="V42" s="11">
        <f t="shared" si="32"/>
        <v>24531.274265306121</v>
      </c>
      <c r="W42" s="11">
        <f t="shared" si="33"/>
        <v>-9696.5250816326534</v>
      </c>
      <c r="X42" s="11">
        <f t="shared" si="34"/>
        <v>-5418.0501632653068</v>
      </c>
      <c r="Y42" s="11">
        <f t="shared" si="35"/>
        <v>-1139.5752448979601</v>
      </c>
      <c r="Z42" s="11">
        <f t="shared" si="36"/>
        <v>3138.8996734693865</v>
      </c>
      <c r="AA42" s="11">
        <f t="shared" si="37"/>
        <v>7417.3745918367349</v>
      </c>
      <c r="AB42" s="7">
        <f t="shared" si="38"/>
        <v>-0.93876958971925084</v>
      </c>
      <c r="AC42" s="7">
        <f t="shared" si="39"/>
        <v>-0.69384794859625432</v>
      </c>
      <c r="AD42" s="7">
        <f t="shared" si="40"/>
        <v>-0.38769589719250852</v>
      </c>
      <c r="AE42" s="7">
        <f t="shared" si="41"/>
        <v>0.53076025701872875</v>
      </c>
      <c r="AF42" s="50">
        <f t="shared" si="42"/>
        <v>1.8978288358167283E-2</v>
      </c>
      <c r="AG42">
        <f t="shared" si="43"/>
        <v>0.90374149659863945</v>
      </c>
      <c r="AH42" s="37"/>
    </row>
    <row r="43" spans="2:34" x14ac:dyDescent="0.25">
      <c r="C43">
        <v>3600133</v>
      </c>
      <c r="D43" s="3">
        <v>11975</v>
      </c>
      <c r="E43">
        <v>5640</v>
      </c>
      <c r="F43">
        <v>5016</v>
      </c>
      <c r="G43" s="3">
        <f>Table3[[#This Row],[Price]]/Table3[[#This Row],[STC Watts]]</f>
        <v>2.12322695035461</v>
      </c>
      <c r="H43">
        <v>752.4</v>
      </c>
      <c r="I43" s="39">
        <f>Table3[[#This Row],[Theoretical Monthly Output]]/Table3[[#This Row],[STC Watts]]</f>
        <v>0.13340425531914893</v>
      </c>
      <c r="J43" s="20">
        <f>((H43*$D$3)/5)*(Table3[[#This Row],[PTC Watts]]/Table3[[#This Row],[STC Watts]])</f>
        <v>602.24017021276586</v>
      </c>
      <c r="K43">
        <v>24</v>
      </c>
      <c r="L43" s="6">
        <f t="shared" si="22"/>
        <v>13775</v>
      </c>
      <c r="M43" s="21">
        <f t="shared" si="23"/>
        <v>0.2822118885720552</v>
      </c>
      <c r="N43" s="8">
        <f t="shared" si="24"/>
        <v>794.95702468085085</v>
      </c>
      <c r="O43" s="9">
        <f t="shared" si="25"/>
        <v>17.327980723901661</v>
      </c>
      <c r="P43" s="11">
        <f t="shared" si="26"/>
        <v>15899.140493617017</v>
      </c>
      <c r="Q43" s="11">
        <f t="shared" si="27"/>
        <v>2124.1404936170165</v>
      </c>
      <c r="R43" s="11">
        <f t="shared" si="28"/>
        <v>6098.9256170212702</v>
      </c>
      <c r="S43" s="11">
        <f t="shared" si="29"/>
        <v>10073.710740425526</v>
      </c>
      <c r="T43" s="11">
        <f t="shared" si="30"/>
        <v>14048.495863829779</v>
      </c>
      <c r="U43" s="11">
        <f t="shared" si="31"/>
        <v>18023.280987234033</v>
      </c>
      <c r="V43" s="11">
        <f t="shared" si="32"/>
        <v>21998.06611063829</v>
      </c>
      <c r="W43" s="11">
        <f t="shared" si="33"/>
        <v>-9800.2148765957463</v>
      </c>
      <c r="X43" s="11">
        <f t="shared" si="34"/>
        <v>-5825.4297531914917</v>
      </c>
      <c r="Y43" s="11">
        <f t="shared" si="35"/>
        <v>-1850.6446297872371</v>
      </c>
      <c r="Z43" s="11">
        <f t="shared" si="36"/>
        <v>2124.1404936170165</v>
      </c>
      <c r="AA43" s="11">
        <f t="shared" si="37"/>
        <v>6098.925617021272</v>
      </c>
      <c r="AB43" s="7">
        <f t="shared" si="38"/>
        <v>-0.94228987116654439</v>
      </c>
      <c r="AC43" s="7">
        <f t="shared" si="39"/>
        <v>-0.71144935583272206</v>
      </c>
      <c r="AD43" s="7">
        <f t="shared" si="40"/>
        <v>-0.42289871166544407</v>
      </c>
      <c r="AE43" s="7">
        <f t="shared" si="41"/>
        <v>0.44275322083638996</v>
      </c>
      <c r="AF43" s="50">
        <f t="shared" si="42"/>
        <v>1.583143836680263E-2</v>
      </c>
      <c r="AG43">
        <f t="shared" si="43"/>
        <v>0.88936170212765953</v>
      </c>
      <c r="AH43" s="37"/>
    </row>
    <row r="44" spans="2:34" x14ac:dyDescent="0.25">
      <c r="C44">
        <v>3600031</v>
      </c>
      <c r="D44" s="3">
        <v>12255</v>
      </c>
      <c r="E44">
        <v>4700</v>
      </c>
      <c r="F44">
        <v>4236</v>
      </c>
      <c r="G44" s="3">
        <f>Table3[[#This Row],[Price]]/Table3[[#This Row],[STC Watts]]</f>
        <v>2.6074468085106384</v>
      </c>
      <c r="H44">
        <v>635.4</v>
      </c>
      <c r="I44" s="39">
        <f>Table3[[#This Row],[Theoretical Monthly Output]]/Table3[[#This Row],[STC Watts]]</f>
        <v>0.13519148936170211</v>
      </c>
      <c r="J44" s="20">
        <f>((H44*$D$3)/5)*(Table3[[#This Row],[PTC Watts]]/Table3[[#This Row],[STC Watts]])</f>
        <v>515.40403404255312</v>
      </c>
      <c r="K44">
        <v>20</v>
      </c>
      <c r="L44" s="6">
        <f t="shared" si="22"/>
        <v>13755</v>
      </c>
      <c r="M44" s="21">
        <f t="shared" si="23"/>
        <v>0.24152016590560127</v>
      </c>
      <c r="N44" s="8">
        <f t="shared" si="24"/>
        <v>680.33332493617013</v>
      </c>
      <c r="O44" s="9">
        <f t="shared" si="25"/>
        <v>20.218030626811519</v>
      </c>
      <c r="P44" s="11">
        <f t="shared" si="26"/>
        <v>13606.666498723403</v>
      </c>
      <c r="Q44" s="11">
        <f t="shared" si="27"/>
        <v>-148.33350127659651</v>
      </c>
      <c r="R44" s="11">
        <f t="shared" si="28"/>
        <v>3253.3331234042544</v>
      </c>
      <c r="S44" s="11">
        <f t="shared" si="29"/>
        <v>6654.9997480851052</v>
      </c>
      <c r="T44" s="11">
        <f t="shared" si="30"/>
        <v>10056.666372765956</v>
      </c>
      <c r="U44" s="11">
        <f t="shared" si="31"/>
        <v>13458.332997446807</v>
      </c>
      <c r="V44" s="11">
        <f t="shared" si="32"/>
        <v>16859.999622127656</v>
      </c>
      <c r="W44" s="11">
        <f t="shared" si="33"/>
        <v>-10353.333375319149</v>
      </c>
      <c r="X44" s="11">
        <f t="shared" si="34"/>
        <v>-6951.6667506382983</v>
      </c>
      <c r="Y44" s="11">
        <f t="shared" si="35"/>
        <v>-3550.0001259574474</v>
      </c>
      <c r="Z44" s="11">
        <f t="shared" si="36"/>
        <v>-148.33350127659651</v>
      </c>
      <c r="AA44" s="11">
        <f t="shared" si="37"/>
        <v>3253.3331234042525</v>
      </c>
      <c r="AB44" s="7">
        <f t="shared" si="38"/>
        <v>-0.95053919847792301</v>
      </c>
      <c r="AC44" s="7">
        <f t="shared" si="39"/>
        <v>-0.7526959923896146</v>
      </c>
      <c r="AD44" s="7">
        <f t="shared" si="40"/>
        <v>-0.5053919847792292</v>
      </c>
      <c r="AE44" s="7">
        <f t="shared" si="41"/>
        <v>0.23652003805192676</v>
      </c>
      <c r="AF44" s="50">
        <f t="shared" si="42"/>
        <v>8.4571996966151357E-3</v>
      </c>
      <c r="AG44">
        <f t="shared" si="43"/>
        <v>0.90127659574468089</v>
      </c>
      <c r="AH44" s="37"/>
    </row>
    <row r="45" spans="2:34" x14ac:dyDescent="0.25">
      <c r="B45" t="s">
        <v>95</v>
      </c>
      <c r="C45" s="27">
        <v>3600060</v>
      </c>
      <c r="D45" s="3">
        <v>11411</v>
      </c>
      <c r="E45">
        <v>5760</v>
      </c>
      <c r="F45">
        <v>5234.5</v>
      </c>
      <c r="G45" s="3">
        <f>Table3[[#This Row],[Price]]/Table3[[#This Row],[STC Watts]]</f>
        <v>1.9810763888888889</v>
      </c>
      <c r="H45">
        <v>785</v>
      </c>
      <c r="I45" s="39">
        <f>Table3[[#This Row],[Theoretical Monthly Output]]/Table3[[#This Row],[STC Watts]]</f>
        <v>0.13628472222222221</v>
      </c>
      <c r="J45" s="20">
        <f>((H45*$D$3)/5)*(Table3[[#This Row],[PTC Watts]]/Table3[[#This Row],[STC Watts]])</f>
        <v>642.04414062499995</v>
      </c>
      <c r="K45">
        <v>24</v>
      </c>
      <c r="L45" s="6">
        <f t="shared" si="22"/>
        <v>13211</v>
      </c>
      <c r="M45" s="21">
        <f t="shared" si="23"/>
        <v>0.30086417086457357</v>
      </c>
      <c r="N45" s="8">
        <f t="shared" si="24"/>
        <v>847.49826562500004</v>
      </c>
      <c r="O45" s="9">
        <f t="shared" si="25"/>
        <v>15.588232490667522</v>
      </c>
      <c r="P45" s="11">
        <f t="shared" si="26"/>
        <v>16949.9653125</v>
      </c>
      <c r="Q45" s="11">
        <f t="shared" si="27"/>
        <v>3738.9653125000004</v>
      </c>
      <c r="R45" s="11">
        <f t="shared" si="28"/>
        <v>7976.4566406250005</v>
      </c>
      <c r="S45" s="11">
        <f t="shared" si="29"/>
        <v>12213.947968750001</v>
      </c>
      <c r="T45" s="11">
        <f t="shared" si="30"/>
        <v>16451.439296875003</v>
      </c>
      <c r="U45" s="11">
        <f t="shared" si="31"/>
        <v>20688.930625000001</v>
      </c>
      <c r="V45" s="11">
        <f t="shared" si="32"/>
        <v>24926.421953125002</v>
      </c>
      <c r="W45" s="11">
        <f t="shared" si="33"/>
        <v>-8973.508671874999</v>
      </c>
      <c r="X45" s="11">
        <f t="shared" si="34"/>
        <v>-4736.0173437499998</v>
      </c>
      <c r="Y45" s="11">
        <f t="shared" si="35"/>
        <v>-498.52601562499876</v>
      </c>
      <c r="Z45" s="11">
        <f t="shared" si="36"/>
        <v>3738.9653125000004</v>
      </c>
      <c r="AA45" s="11">
        <f t="shared" si="37"/>
        <v>7976.4566406250015</v>
      </c>
      <c r="AB45" s="7">
        <f t="shared" si="38"/>
        <v>-0.93584904506661115</v>
      </c>
      <c r="AC45" s="7">
        <f t="shared" si="39"/>
        <v>-0.67924522533305576</v>
      </c>
      <c r="AD45" s="7">
        <f t="shared" si="40"/>
        <v>-0.35849045066611157</v>
      </c>
      <c r="AE45" s="7">
        <f t="shared" si="41"/>
        <v>0.60377387333472121</v>
      </c>
      <c r="AF45" s="50">
        <f t="shared" si="42"/>
        <v>2.1589021634054961E-2</v>
      </c>
      <c r="AG45">
        <f t="shared" si="43"/>
        <v>0.90876736111111112</v>
      </c>
      <c r="AH45" s="37"/>
    </row>
    <row r="46" spans="2:34" x14ac:dyDescent="0.25">
      <c r="C46">
        <v>3600113</v>
      </c>
      <c r="D46" s="3">
        <v>11700</v>
      </c>
      <c r="E46">
        <v>4700</v>
      </c>
      <c r="F46">
        <v>4236</v>
      </c>
      <c r="G46" s="3">
        <f>Table3[[#This Row],[Price]]/Table3[[#This Row],[STC Watts]]</f>
        <v>2.4893617021276597</v>
      </c>
      <c r="H46">
        <v>635</v>
      </c>
      <c r="I46" s="39">
        <f>Table3[[#This Row],[Theoretical Monthly Output]]/Table3[[#This Row],[STC Watts]]</f>
        <v>0.1351063829787234</v>
      </c>
      <c r="J46" s="20">
        <f>((H46*$D$3)/5)*(Table3[[#This Row],[PTC Watts]]/Table3[[#This Row],[STC Watts]])</f>
        <v>515.07957446808507</v>
      </c>
      <c r="K46">
        <v>20</v>
      </c>
      <c r="L46" s="6">
        <f t="shared" si="22"/>
        <v>13200</v>
      </c>
      <c r="M46" s="21">
        <f t="shared" si="23"/>
        <v>0.24136812299347943</v>
      </c>
      <c r="N46" s="8">
        <f t="shared" si="24"/>
        <v>679.90503829787235</v>
      </c>
      <c r="O46" s="9">
        <f t="shared" si="25"/>
        <v>19.414475928941364</v>
      </c>
      <c r="P46" s="11">
        <f t="shared" si="26"/>
        <v>13598.100765957446</v>
      </c>
      <c r="Q46" s="11">
        <f t="shared" si="27"/>
        <v>398.10076595744613</v>
      </c>
      <c r="R46" s="11">
        <f t="shared" si="28"/>
        <v>3797.6259574468077</v>
      </c>
      <c r="S46" s="11">
        <f t="shared" si="29"/>
        <v>7197.1511489361692</v>
      </c>
      <c r="T46" s="11">
        <f t="shared" si="30"/>
        <v>10596.676340425531</v>
      </c>
      <c r="U46" s="11">
        <f t="shared" si="31"/>
        <v>13996.201531914892</v>
      </c>
      <c r="V46" s="11">
        <f t="shared" si="32"/>
        <v>17395.726723404256</v>
      </c>
      <c r="W46" s="11">
        <f t="shared" si="33"/>
        <v>-9800.4748085106385</v>
      </c>
      <c r="X46" s="11">
        <f t="shared" si="34"/>
        <v>-6400.9496170212769</v>
      </c>
      <c r="Y46" s="11">
        <f t="shared" si="35"/>
        <v>-3001.4244255319154</v>
      </c>
      <c r="Z46" s="11">
        <f t="shared" si="36"/>
        <v>398.10076595744613</v>
      </c>
      <c r="AA46" s="11">
        <f t="shared" si="37"/>
        <v>3797.6259574468095</v>
      </c>
      <c r="AB46" s="7">
        <f t="shared" si="38"/>
        <v>-0.94849204255319142</v>
      </c>
      <c r="AC46" s="7">
        <f t="shared" si="39"/>
        <v>-0.74246021276595742</v>
      </c>
      <c r="AD46" s="7">
        <f t="shared" si="40"/>
        <v>-0.48492042553191494</v>
      </c>
      <c r="AE46" s="7">
        <f t="shared" si="41"/>
        <v>0.28769893617021286</v>
      </c>
      <c r="AF46" s="50">
        <f t="shared" si="42"/>
        <v>1.0287193320851068E-2</v>
      </c>
      <c r="AG46">
        <f t="shared" si="43"/>
        <v>0.90127659574468089</v>
      </c>
      <c r="AH46" s="37"/>
    </row>
    <row r="47" spans="2:34" x14ac:dyDescent="0.25">
      <c r="C47">
        <v>3600059</v>
      </c>
      <c r="D47" s="3">
        <v>10791</v>
      </c>
      <c r="E47">
        <v>4800</v>
      </c>
      <c r="F47">
        <v>4362</v>
      </c>
      <c r="G47" s="3">
        <f>Table3[[#This Row],[Price]]/Table3[[#This Row],[STC Watts]]</f>
        <v>2.2481249999999999</v>
      </c>
      <c r="H47">
        <v>654</v>
      </c>
      <c r="I47" s="39">
        <f>Table3[[#This Row],[Theoretical Monthly Output]]/Table3[[#This Row],[STC Watts]]</f>
        <v>0.13625000000000001</v>
      </c>
      <c r="J47" s="20">
        <f>((H47*$D$3)/5)*(Table3[[#This Row],[PTC Watts]]/Table3[[#This Row],[STC Watts]])</f>
        <v>534.89025000000004</v>
      </c>
      <c r="K47">
        <v>20</v>
      </c>
      <c r="L47" s="6">
        <f t="shared" si="22"/>
        <v>12291</v>
      </c>
      <c r="M47" s="21">
        <f t="shared" si="23"/>
        <v>0.25065147610121841</v>
      </c>
      <c r="N47" s="8">
        <f t="shared" si="24"/>
        <v>706.05513000000008</v>
      </c>
      <c r="O47" s="9">
        <f t="shared" si="25"/>
        <v>17.407989090030405</v>
      </c>
      <c r="P47" s="11">
        <f t="shared" si="26"/>
        <v>14121.102600000002</v>
      </c>
      <c r="Q47" s="11">
        <f t="shared" si="27"/>
        <v>1830.102600000002</v>
      </c>
      <c r="R47" s="11">
        <f t="shared" si="28"/>
        <v>5360.3782500000025</v>
      </c>
      <c r="S47" s="11">
        <f t="shared" si="29"/>
        <v>8890.653900000003</v>
      </c>
      <c r="T47" s="11">
        <f t="shared" si="30"/>
        <v>12420.929550000003</v>
      </c>
      <c r="U47" s="11">
        <f t="shared" si="31"/>
        <v>15951.205200000004</v>
      </c>
      <c r="V47" s="11">
        <f t="shared" si="32"/>
        <v>19481.480850000004</v>
      </c>
      <c r="W47" s="11">
        <f t="shared" si="33"/>
        <v>-8760.7243500000004</v>
      </c>
      <c r="X47" s="11">
        <f t="shared" si="34"/>
        <v>-5230.448699999999</v>
      </c>
      <c r="Y47" s="11">
        <f t="shared" si="35"/>
        <v>-1700.1730499999994</v>
      </c>
      <c r="Z47" s="11">
        <f t="shared" si="36"/>
        <v>1830.102600000002</v>
      </c>
      <c r="AA47" s="11">
        <f t="shared" si="37"/>
        <v>5360.3782500000016</v>
      </c>
      <c r="AB47" s="7">
        <f t="shared" si="38"/>
        <v>-0.94255511105687084</v>
      </c>
      <c r="AC47" s="7">
        <f t="shared" si="39"/>
        <v>-0.71277555528435443</v>
      </c>
      <c r="AD47" s="7">
        <f t="shared" si="40"/>
        <v>-0.42555111056870876</v>
      </c>
      <c r="AE47" s="7">
        <f t="shared" si="41"/>
        <v>0.43612222357822811</v>
      </c>
      <c r="AF47" s="50">
        <f t="shared" si="42"/>
        <v>1.5594335124041989E-2</v>
      </c>
      <c r="AG47">
        <f t="shared" si="43"/>
        <v>0.90874999999999995</v>
      </c>
      <c r="AH47" s="37"/>
    </row>
    <row r="48" spans="2:34" x14ac:dyDescent="0.25">
      <c r="C48">
        <v>3600161</v>
      </c>
      <c r="D48" s="3">
        <v>10750</v>
      </c>
      <c r="E48">
        <v>4990</v>
      </c>
      <c r="F48">
        <v>4428</v>
      </c>
      <c r="G48" s="3">
        <f>Table3[[#This Row],[Price]]/Table3[[#This Row],[STC Watts]]</f>
        <v>2.1543086172344688</v>
      </c>
      <c r="H48">
        <v>664</v>
      </c>
      <c r="I48" s="39">
        <f>Table3[[#This Row],[Theoretical Monthly Output]]/Table3[[#This Row],[STC Watts]]</f>
        <v>0.13306613226452907</v>
      </c>
      <c r="J48" s="20">
        <f>((H48*$D$3)/5)*(Table3[[#This Row],[PTC Watts]]/Table3[[#This Row],[STC Watts]])</f>
        <v>530.29515030060122</v>
      </c>
      <c r="K48">
        <v>20</v>
      </c>
      <c r="L48" s="6">
        <f t="shared" si="22"/>
        <v>12250</v>
      </c>
      <c r="M48" s="21">
        <f t="shared" si="23"/>
        <v>0.24849819601715145</v>
      </c>
      <c r="N48" s="8">
        <f t="shared" si="24"/>
        <v>699.98959839679355</v>
      </c>
      <c r="O48" s="9">
        <f t="shared" si="25"/>
        <v>17.500260043944266</v>
      </c>
      <c r="P48" s="11">
        <f t="shared" si="26"/>
        <v>13999.791967935871</v>
      </c>
      <c r="Q48" s="11">
        <f t="shared" si="27"/>
        <v>1749.7919679358711</v>
      </c>
      <c r="R48" s="11">
        <f t="shared" si="28"/>
        <v>5249.7399599198388</v>
      </c>
      <c r="S48" s="11">
        <f t="shared" si="29"/>
        <v>8749.6879519038066</v>
      </c>
      <c r="T48" s="11">
        <f t="shared" si="30"/>
        <v>12249.635943887773</v>
      </c>
      <c r="U48" s="11">
        <f t="shared" si="31"/>
        <v>15749.583935871742</v>
      </c>
      <c r="V48" s="11">
        <f t="shared" si="32"/>
        <v>19249.531927855711</v>
      </c>
      <c r="W48" s="11">
        <f t="shared" si="33"/>
        <v>-8750.0520080160313</v>
      </c>
      <c r="X48" s="11">
        <f t="shared" si="34"/>
        <v>-5250.1040160320645</v>
      </c>
      <c r="Y48" s="11">
        <f t="shared" si="35"/>
        <v>-1750.1560240480976</v>
      </c>
      <c r="Z48" s="11">
        <f t="shared" si="36"/>
        <v>1749.7919679358711</v>
      </c>
      <c r="AA48" s="11">
        <f t="shared" si="37"/>
        <v>5249.7399599198397</v>
      </c>
      <c r="AB48" s="7">
        <f t="shared" si="38"/>
        <v>-0.94285799196760867</v>
      </c>
      <c r="AC48" s="7">
        <f t="shared" si="39"/>
        <v>-0.71428995983804333</v>
      </c>
      <c r="AD48" s="7">
        <f t="shared" si="40"/>
        <v>-0.42857991967608688</v>
      </c>
      <c r="AE48" s="7">
        <f t="shared" si="41"/>
        <v>0.42855020080978284</v>
      </c>
      <c r="AF48" s="50">
        <f t="shared" si="42"/>
        <v>1.5323583820315243E-2</v>
      </c>
      <c r="AG48">
        <f t="shared" si="43"/>
        <v>0.88737474949899797</v>
      </c>
      <c r="AH48" s="37"/>
    </row>
    <row r="49" spans="2:34" x14ac:dyDescent="0.25">
      <c r="C49">
        <v>1049874</v>
      </c>
      <c r="D49" s="3">
        <v>10675</v>
      </c>
      <c r="E49">
        <v>4900</v>
      </c>
      <c r="F49">
        <v>4428</v>
      </c>
      <c r="G49" s="3">
        <f>Table3[[#This Row],[Price]]/Table3[[#This Row],[STC Watts]]</f>
        <v>2.1785714285714284</v>
      </c>
      <c r="H49">
        <v>664</v>
      </c>
      <c r="I49" s="39">
        <f>Table3[[#This Row],[Theoretical Monthly Output]]/Table3[[#This Row],[STC Watts]]</f>
        <v>0.13551020408163264</v>
      </c>
      <c r="J49" s="20">
        <f>((H49*$D$3)/5)*(Table3[[#This Row],[PTC Watts]]/Table3[[#This Row],[STC Watts]])</f>
        <v>540.03526530612248</v>
      </c>
      <c r="K49">
        <v>20</v>
      </c>
      <c r="L49" s="6">
        <f t="shared" si="22"/>
        <v>12175</v>
      </c>
      <c r="M49" s="21">
        <f t="shared" si="23"/>
        <v>0.25306244859705834</v>
      </c>
      <c r="N49" s="8">
        <f t="shared" si="24"/>
        <v>712.84655020408172</v>
      </c>
      <c r="O49" s="9">
        <f t="shared" si="25"/>
        <v>17.079412107015745</v>
      </c>
      <c r="P49" s="11">
        <f t="shared" si="26"/>
        <v>14256.931004081634</v>
      </c>
      <c r="Q49" s="11">
        <f t="shared" si="27"/>
        <v>2081.9310040816345</v>
      </c>
      <c r="R49" s="11">
        <f t="shared" si="28"/>
        <v>5646.1637551020431</v>
      </c>
      <c r="S49" s="11">
        <f t="shared" si="29"/>
        <v>9210.3965061224517</v>
      </c>
      <c r="T49" s="11">
        <f t="shared" si="30"/>
        <v>12774.62925714286</v>
      </c>
      <c r="U49" s="11">
        <f t="shared" si="31"/>
        <v>16338.862008163269</v>
      </c>
      <c r="V49" s="11">
        <f t="shared" si="32"/>
        <v>19903.094759183678</v>
      </c>
      <c r="W49" s="11">
        <f t="shared" si="33"/>
        <v>-8610.7672489795914</v>
      </c>
      <c r="X49" s="11">
        <f t="shared" si="34"/>
        <v>-5046.5344979591828</v>
      </c>
      <c r="Y49" s="11">
        <f t="shared" si="35"/>
        <v>-1482.3017469387742</v>
      </c>
      <c r="Z49" s="11">
        <f t="shared" si="36"/>
        <v>2081.9310040816345</v>
      </c>
      <c r="AA49" s="11">
        <f t="shared" si="37"/>
        <v>5646.1637551020431</v>
      </c>
      <c r="AB49" s="7">
        <f t="shared" si="38"/>
        <v>-0.94144997534258057</v>
      </c>
      <c r="AC49" s="7">
        <f t="shared" si="39"/>
        <v>-0.70724987671290274</v>
      </c>
      <c r="AD49" s="7">
        <f t="shared" si="40"/>
        <v>-0.41449975342580558</v>
      </c>
      <c r="AE49" s="7">
        <f t="shared" si="41"/>
        <v>0.4637506164354861</v>
      </c>
      <c r="AF49" s="50">
        <f t="shared" si="42"/>
        <v>1.6582238041760389E-2</v>
      </c>
      <c r="AG49">
        <f t="shared" si="43"/>
        <v>0.90367346938775506</v>
      </c>
      <c r="AH49" s="37"/>
    </row>
    <row r="50" spans="2:34" x14ac:dyDescent="0.25">
      <c r="C50">
        <v>3600081</v>
      </c>
      <c r="D50" s="3">
        <v>10210</v>
      </c>
      <c r="E50">
        <v>4700</v>
      </c>
      <c r="F50">
        <v>4180</v>
      </c>
      <c r="G50" s="3">
        <f>Table3[[#This Row],[Price]]/Table3[[#This Row],[STC Watts]]</f>
        <v>2.1723404255319148</v>
      </c>
      <c r="H50">
        <v>627</v>
      </c>
      <c r="I50" s="39">
        <f>Table3[[#This Row],[Theoretical Monthly Output]]/Table3[[#This Row],[STC Watts]]</f>
        <v>0.13340425531914893</v>
      </c>
      <c r="J50" s="20">
        <f>((H50*$D$3)/5)*(Table3[[#This Row],[PTC Watts]]/Table3[[#This Row],[STC Watts]])</f>
        <v>501.86680851063824</v>
      </c>
      <c r="K50">
        <v>20</v>
      </c>
      <c r="L50" s="6">
        <f t="shared" si="22"/>
        <v>11710</v>
      </c>
      <c r="M50" s="21">
        <f t="shared" si="23"/>
        <v>0.23517657381004603</v>
      </c>
      <c r="N50" s="8">
        <f t="shared" si="24"/>
        <v>662.46418723404247</v>
      </c>
      <c r="O50" s="9">
        <f t="shared" si="25"/>
        <v>17.676427232832385</v>
      </c>
      <c r="P50" s="11">
        <f t="shared" si="26"/>
        <v>13249.28374468085</v>
      </c>
      <c r="Q50" s="11">
        <f t="shared" si="27"/>
        <v>1539.2837446808498</v>
      </c>
      <c r="R50" s="11">
        <f t="shared" si="28"/>
        <v>4851.6046808510619</v>
      </c>
      <c r="S50" s="11">
        <f t="shared" si="29"/>
        <v>8163.9256170212748</v>
      </c>
      <c r="T50" s="11">
        <f t="shared" si="30"/>
        <v>11476.246553191488</v>
      </c>
      <c r="U50" s="11">
        <f t="shared" si="31"/>
        <v>14788.5674893617</v>
      </c>
      <c r="V50" s="11">
        <f t="shared" si="32"/>
        <v>18100.888425531914</v>
      </c>
      <c r="W50" s="11">
        <f t="shared" si="33"/>
        <v>-8397.679063829788</v>
      </c>
      <c r="X50" s="11">
        <f t="shared" si="34"/>
        <v>-5085.3581276595751</v>
      </c>
      <c r="Y50" s="11">
        <f t="shared" si="35"/>
        <v>-1773.0371914893622</v>
      </c>
      <c r="Z50" s="11">
        <f t="shared" si="36"/>
        <v>1539.2837446808498</v>
      </c>
      <c r="AA50" s="11">
        <f t="shared" si="37"/>
        <v>4851.6046808510619</v>
      </c>
      <c r="AB50" s="7">
        <f t="shared" si="38"/>
        <v>-0.94342748187582903</v>
      </c>
      <c r="AC50" s="7">
        <f t="shared" si="39"/>
        <v>-0.71713740937914505</v>
      </c>
      <c r="AD50" s="7">
        <f t="shared" si="40"/>
        <v>-0.43427481875828994</v>
      </c>
      <c r="AE50" s="7">
        <f t="shared" si="41"/>
        <v>0.41431295310427513</v>
      </c>
      <c r="AF50" s="50">
        <f t="shared" si="42"/>
        <v>1.4814505401558944E-2</v>
      </c>
      <c r="AG50">
        <f t="shared" si="43"/>
        <v>0.88936170212765953</v>
      </c>
      <c r="AH50" s="37"/>
    </row>
    <row r="51" spans="2:34" x14ac:dyDescent="0.25">
      <c r="C51">
        <v>3600030</v>
      </c>
      <c r="D51" s="3">
        <v>9615</v>
      </c>
      <c r="E51">
        <v>3525</v>
      </c>
      <c r="F51">
        <v>3177</v>
      </c>
      <c r="G51" s="3">
        <f>Table3[[#This Row],[Price]]/Table3[[#This Row],[STC Watts]]</f>
        <v>2.7276595744680852</v>
      </c>
      <c r="H51">
        <v>476.6</v>
      </c>
      <c r="I51" s="39">
        <f>Table3[[#This Row],[Theoretical Monthly Output]]/Table3[[#This Row],[STC Watts]]</f>
        <v>0.13520567375886525</v>
      </c>
      <c r="J51" s="20">
        <f>((H51*$D$3)/5)*(Table3[[#This Row],[PTC Watts]]/Table3[[#This Row],[STC Watts]])</f>
        <v>386.59358297872348</v>
      </c>
      <c r="K51">
        <v>15</v>
      </c>
      <c r="L51" s="6">
        <f t="shared" si="22"/>
        <v>10740</v>
      </c>
      <c r="M51" s="21">
        <f t="shared" si="23"/>
        <v>0.18115912979321624</v>
      </c>
      <c r="N51" s="8">
        <f t="shared" si="24"/>
        <v>510.30352953191499</v>
      </c>
      <c r="O51" s="9">
        <f t="shared" si="25"/>
        <v>21.046297700216687</v>
      </c>
      <c r="P51" s="11">
        <f t="shared" si="26"/>
        <v>10206.070590638299</v>
      </c>
      <c r="Q51" s="11">
        <f t="shared" si="27"/>
        <v>-533.92940936170089</v>
      </c>
      <c r="R51" s="11">
        <f t="shared" si="28"/>
        <v>2017.5882382978739</v>
      </c>
      <c r="S51" s="11">
        <f t="shared" si="29"/>
        <v>4569.1058859574487</v>
      </c>
      <c r="T51" s="11">
        <f t="shared" si="30"/>
        <v>7120.6235336170239</v>
      </c>
      <c r="U51" s="11">
        <f t="shared" si="31"/>
        <v>9672.1411812765982</v>
      </c>
      <c r="V51" s="11">
        <f t="shared" si="32"/>
        <v>12223.658828936173</v>
      </c>
      <c r="W51" s="11">
        <f t="shared" si="33"/>
        <v>-8188.4823523404248</v>
      </c>
      <c r="X51" s="11">
        <f t="shared" si="34"/>
        <v>-5636.9647046808504</v>
      </c>
      <c r="Y51" s="11">
        <f t="shared" si="35"/>
        <v>-3085.4470570212752</v>
      </c>
      <c r="Z51" s="11">
        <f t="shared" si="36"/>
        <v>-533.92940936170089</v>
      </c>
      <c r="AA51" s="11">
        <f t="shared" si="37"/>
        <v>2017.5882382978743</v>
      </c>
      <c r="AB51" s="7">
        <f t="shared" si="38"/>
        <v>-0.9524857048852966</v>
      </c>
      <c r="AC51" s="7">
        <f t="shared" si="39"/>
        <v>-0.76242852442648279</v>
      </c>
      <c r="AD51" s="7">
        <f t="shared" si="40"/>
        <v>-0.52485704885296558</v>
      </c>
      <c r="AE51" s="7">
        <f t="shared" si="41"/>
        <v>0.18785737786758608</v>
      </c>
      <c r="AF51" s="50">
        <f t="shared" si="42"/>
        <v>6.7171786889357018E-3</v>
      </c>
      <c r="AG51">
        <f t="shared" si="43"/>
        <v>0.90127659574468089</v>
      </c>
      <c r="AH51" s="37"/>
    </row>
    <row r="52" spans="2:34" x14ac:dyDescent="0.25">
      <c r="C52" s="17">
        <v>5500103</v>
      </c>
      <c r="D52" s="3">
        <v>9593</v>
      </c>
      <c r="E52">
        <v>3525</v>
      </c>
      <c r="F52">
        <v>3135</v>
      </c>
      <c r="G52" s="3">
        <f>Table3[[#This Row],[Price]]/Table3[[#This Row],[STC Watts]]</f>
        <v>2.7214184397163121</v>
      </c>
      <c r="H52">
        <v>470.25</v>
      </c>
      <c r="I52" s="39">
        <f>Table3[[#This Row],[Theoretical Monthly Output]]/Table3[[#This Row],[STC Watts]]</f>
        <v>0.13340425531914893</v>
      </c>
      <c r="J52" s="20">
        <f>((H52*$D$3)/5)*(Table3[[#This Row],[PTC Watts]]/Table3[[#This Row],[STC Watts]])</f>
        <v>376.40010638297872</v>
      </c>
      <c r="K52">
        <v>15</v>
      </c>
      <c r="L52" s="6">
        <f t="shared" si="22"/>
        <v>10718</v>
      </c>
      <c r="M52" s="21">
        <f t="shared" si="23"/>
        <v>0.17638243035753454</v>
      </c>
      <c r="N52" s="8">
        <f t="shared" si="24"/>
        <v>496.84814042553188</v>
      </c>
      <c r="O52" s="9">
        <f t="shared" si="25"/>
        <v>21.571983726899798</v>
      </c>
      <c r="P52" s="11">
        <f t="shared" si="26"/>
        <v>9936.9628085106378</v>
      </c>
      <c r="Q52" s="11">
        <f t="shared" si="27"/>
        <v>-781.03719148936216</v>
      </c>
      <c r="R52" s="11">
        <f t="shared" si="28"/>
        <v>1703.2035106382973</v>
      </c>
      <c r="S52" s="11">
        <f t="shared" si="29"/>
        <v>4187.4442127659568</v>
      </c>
      <c r="T52" s="11">
        <f t="shared" si="30"/>
        <v>6671.6849148936162</v>
      </c>
      <c r="U52" s="11">
        <f t="shared" si="31"/>
        <v>9155.9256170212757</v>
      </c>
      <c r="V52" s="11">
        <f t="shared" si="32"/>
        <v>11640.166319148935</v>
      </c>
      <c r="W52" s="11">
        <f t="shared" si="33"/>
        <v>-8233.7592978723405</v>
      </c>
      <c r="X52" s="11">
        <f t="shared" si="34"/>
        <v>-5749.5185957446811</v>
      </c>
      <c r="Y52" s="11">
        <f t="shared" si="35"/>
        <v>-3265.2778936170216</v>
      </c>
      <c r="Z52" s="11">
        <f t="shared" si="36"/>
        <v>-781.03719148936216</v>
      </c>
      <c r="AA52" s="11">
        <f t="shared" si="37"/>
        <v>1703.2035106382973</v>
      </c>
      <c r="AB52" s="7">
        <f t="shared" si="38"/>
        <v>-0.9536435771202153</v>
      </c>
      <c r="AC52" s="7">
        <f t="shared" si="39"/>
        <v>-0.76821788560107673</v>
      </c>
      <c r="AD52" s="7">
        <f t="shared" si="40"/>
        <v>-0.53643577120215347</v>
      </c>
      <c r="AE52" s="7">
        <f t="shared" si="41"/>
        <v>0.15891057199461628</v>
      </c>
      <c r="AF52" s="50">
        <f t="shared" si="42"/>
        <v>5.6821335406970954E-3</v>
      </c>
      <c r="AG52">
        <f t="shared" si="43"/>
        <v>0.88936170212765953</v>
      </c>
      <c r="AH52" s="37"/>
    </row>
    <row r="53" spans="2:34" x14ac:dyDescent="0.25">
      <c r="C53">
        <v>1049873</v>
      </c>
      <c r="D53" s="3">
        <v>8500</v>
      </c>
      <c r="E53">
        <v>3675</v>
      </c>
      <c r="F53">
        <v>3321</v>
      </c>
      <c r="G53" s="3">
        <f>Table3[[#This Row],[Price]]/Table3[[#This Row],[STC Watts]]</f>
        <v>2.3129251700680271</v>
      </c>
      <c r="H53">
        <v>498</v>
      </c>
      <c r="I53" s="39">
        <f>Table3[[#This Row],[Theoretical Monthly Output]]/Table3[[#This Row],[STC Watts]]</f>
        <v>0.13551020408163264</v>
      </c>
      <c r="J53" s="20">
        <f>((H53*$D$3)/5)*(Table3[[#This Row],[PTC Watts]]/Table3[[#This Row],[STC Watts]])</f>
        <v>405.02644897959181</v>
      </c>
      <c r="K53">
        <v>15</v>
      </c>
      <c r="L53" s="6">
        <f t="shared" si="22"/>
        <v>9625</v>
      </c>
      <c r="M53" s="21">
        <f t="shared" si="23"/>
        <v>0.18979683644779372</v>
      </c>
      <c r="N53" s="8">
        <f t="shared" si="24"/>
        <v>534.63491265306118</v>
      </c>
      <c r="O53" s="9">
        <f t="shared" si="25"/>
        <v>18.002939524164443</v>
      </c>
      <c r="P53" s="11">
        <f t="shared" si="26"/>
        <v>10692.698253061224</v>
      </c>
      <c r="Q53" s="11">
        <f t="shared" si="27"/>
        <v>1067.698253061224</v>
      </c>
      <c r="R53" s="11">
        <f t="shared" si="28"/>
        <v>3740.87281632653</v>
      </c>
      <c r="S53" s="11">
        <f t="shared" si="29"/>
        <v>6414.047379591836</v>
      </c>
      <c r="T53" s="11">
        <f t="shared" si="30"/>
        <v>9087.2219428571407</v>
      </c>
      <c r="U53" s="11">
        <f t="shared" si="31"/>
        <v>11760.396506122448</v>
      </c>
      <c r="V53" s="11">
        <f t="shared" si="32"/>
        <v>14433.571069387754</v>
      </c>
      <c r="W53" s="11">
        <f t="shared" si="33"/>
        <v>-6951.8254367346944</v>
      </c>
      <c r="X53" s="11">
        <f t="shared" si="34"/>
        <v>-4278.650873469388</v>
      </c>
      <c r="Y53" s="11">
        <f t="shared" si="35"/>
        <v>-1605.4763102040824</v>
      </c>
      <c r="Z53" s="11">
        <f t="shared" si="36"/>
        <v>1067.698253061224</v>
      </c>
      <c r="AA53" s="11">
        <f t="shared" si="37"/>
        <v>3740.8728163265296</v>
      </c>
      <c r="AB53" s="7">
        <f t="shared" si="38"/>
        <v>-0.9444535155685132</v>
      </c>
      <c r="AC53" s="7">
        <f t="shared" si="39"/>
        <v>-0.72226757784256568</v>
      </c>
      <c r="AD53" s="7">
        <f t="shared" si="40"/>
        <v>-0.44453515568513124</v>
      </c>
      <c r="AE53" s="7">
        <f t="shared" si="41"/>
        <v>0.38866211078717189</v>
      </c>
      <c r="AF53" s="50">
        <f t="shared" si="42"/>
        <v>1.3897313362994749E-2</v>
      </c>
      <c r="AG53">
        <f t="shared" si="43"/>
        <v>0.90367346938775506</v>
      </c>
      <c r="AH53" s="37"/>
    </row>
    <row r="54" spans="2:34" x14ac:dyDescent="0.25">
      <c r="C54">
        <v>3600080</v>
      </c>
      <c r="D54" s="3">
        <v>8070</v>
      </c>
      <c r="E54">
        <v>3525</v>
      </c>
      <c r="F54">
        <v>3135</v>
      </c>
      <c r="G54" s="3">
        <f>Table3[[#This Row],[Price]]/Table3[[#This Row],[STC Watts]]</f>
        <v>2.2893617021276595</v>
      </c>
      <c r="H54">
        <v>470.25</v>
      </c>
      <c r="I54" s="39">
        <f>Table3[[#This Row],[Theoretical Monthly Output]]/Table3[[#This Row],[STC Watts]]</f>
        <v>0.13340425531914893</v>
      </c>
      <c r="J54" s="20">
        <f>((H54*$D$3)/5)*(Table3[[#This Row],[PTC Watts]]/Table3[[#This Row],[STC Watts]])</f>
        <v>376.40010638297872</v>
      </c>
      <c r="K54">
        <v>15</v>
      </c>
      <c r="L54" s="6">
        <f t="shared" si="22"/>
        <v>9195</v>
      </c>
      <c r="M54" s="21">
        <f t="shared" si="23"/>
        <v>0.17638243035753454</v>
      </c>
      <c r="N54" s="8">
        <f t="shared" si="24"/>
        <v>496.84814042553188</v>
      </c>
      <c r="O54" s="9">
        <f t="shared" si="25"/>
        <v>18.506660792017509</v>
      </c>
      <c r="P54" s="11">
        <f t="shared" si="26"/>
        <v>9936.9628085106378</v>
      </c>
      <c r="Q54" s="11">
        <f t="shared" si="27"/>
        <v>741.96280851063784</v>
      </c>
      <c r="R54" s="11">
        <f t="shared" si="28"/>
        <v>3226.2035106382973</v>
      </c>
      <c r="S54" s="11">
        <f t="shared" si="29"/>
        <v>5710.4442127659568</v>
      </c>
      <c r="T54" s="11">
        <f t="shared" si="30"/>
        <v>8194.6849148936162</v>
      </c>
      <c r="U54" s="11">
        <f t="shared" si="31"/>
        <v>10678.925617021276</v>
      </c>
      <c r="V54" s="11">
        <f t="shared" si="32"/>
        <v>13163.166319148935</v>
      </c>
      <c r="W54" s="11">
        <f t="shared" si="33"/>
        <v>-6710.7592978723405</v>
      </c>
      <c r="X54" s="11">
        <f t="shared" si="34"/>
        <v>-4226.5185957446811</v>
      </c>
      <c r="Y54" s="11">
        <f t="shared" si="35"/>
        <v>-1742.2778936170216</v>
      </c>
      <c r="Z54" s="11">
        <f t="shared" si="36"/>
        <v>741.96280851063784</v>
      </c>
      <c r="AA54" s="11">
        <f t="shared" si="37"/>
        <v>3226.2035106382973</v>
      </c>
      <c r="AB54" s="7">
        <f t="shared" si="38"/>
        <v>-0.94596540071500457</v>
      </c>
      <c r="AC54" s="7">
        <f t="shared" si="39"/>
        <v>-0.72982700357502339</v>
      </c>
      <c r="AD54" s="7">
        <f t="shared" si="40"/>
        <v>-0.45965400715004689</v>
      </c>
      <c r="AE54" s="7">
        <f t="shared" si="41"/>
        <v>0.35086498212488282</v>
      </c>
      <c r="AF54" s="50">
        <f t="shared" si="42"/>
        <v>1.254580899284301E-2</v>
      </c>
      <c r="AG54">
        <f t="shared" si="43"/>
        <v>0.88936170212765953</v>
      </c>
      <c r="AH54" s="37"/>
    </row>
    <row r="55" spans="2:34" x14ac:dyDescent="0.25">
      <c r="C55">
        <v>3600112</v>
      </c>
      <c r="D55" s="3">
        <v>7365</v>
      </c>
      <c r="E55">
        <v>2820</v>
      </c>
      <c r="F55">
        <v>2542</v>
      </c>
      <c r="G55" s="3">
        <f>Table3[[#This Row],[Price]]/Table3[[#This Row],[STC Watts]]</f>
        <v>2.6117021276595747</v>
      </c>
      <c r="H55">
        <v>381</v>
      </c>
      <c r="I55" s="39">
        <f>Table3[[#This Row],[Theoretical Monthly Output]]/Table3[[#This Row],[STC Watts]]</f>
        <v>0.1351063829787234</v>
      </c>
      <c r="J55" s="20">
        <f>((H55*$D$3)/5)*(Table3[[#This Row],[PTC Watts]]/Table3[[#This Row],[STC Watts]])</f>
        <v>309.0963829787234</v>
      </c>
      <c r="K55">
        <v>12</v>
      </c>
      <c r="L55" s="6">
        <f t="shared" si="22"/>
        <v>8265</v>
      </c>
      <c r="M55" s="21">
        <f t="shared" si="23"/>
        <v>0.14484366587569045</v>
      </c>
      <c r="N55" s="8">
        <f t="shared" si="24"/>
        <v>408.00722553191491</v>
      </c>
      <c r="O55" s="9">
        <f t="shared" si="25"/>
        <v>20.256994197161589</v>
      </c>
      <c r="P55" s="11">
        <f t="shared" si="26"/>
        <v>8160.144510638298</v>
      </c>
      <c r="Q55" s="11">
        <f t="shared" si="27"/>
        <v>-104.85548936170198</v>
      </c>
      <c r="R55" s="11">
        <f t="shared" si="28"/>
        <v>1935.1806382978725</v>
      </c>
      <c r="S55" s="11">
        <f t="shared" si="29"/>
        <v>3975.216765957447</v>
      </c>
      <c r="T55" s="11">
        <f t="shared" si="30"/>
        <v>6015.252893617022</v>
      </c>
      <c r="U55" s="11">
        <f t="shared" si="31"/>
        <v>8055.289021276596</v>
      </c>
      <c r="V55" s="11">
        <f t="shared" si="32"/>
        <v>10095.32514893617</v>
      </c>
      <c r="W55" s="11">
        <f t="shared" si="33"/>
        <v>-6224.963872340426</v>
      </c>
      <c r="X55" s="11">
        <f t="shared" si="34"/>
        <v>-4184.927744680851</v>
      </c>
      <c r="Y55" s="11">
        <f t="shared" si="35"/>
        <v>-2144.891617021276</v>
      </c>
      <c r="Z55" s="11">
        <f t="shared" si="36"/>
        <v>-104.85548936170198</v>
      </c>
      <c r="AA55" s="11">
        <f t="shared" si="37"/>
        <v>1935.1806382978721</v>
      </c>
      <c r="AB55" s="7">
        <f t="shared" si="38"/>
        <v>-0.95063433447889722</v>
      </c>
      <c r="AC55" s="7">
        <f t="shared" si="39"/>
        <v>-0.7531716723944859</v>
      </c>
      <c r="AD55" s="7">
        <f t="shared" si="40"/>
        <v>-0.50634334478897169</v>
      </c>
      <c r="AE55" s="7">
        <f t="shared" si="41"/>
        <v>0.23414163802757074</v>
      </c>
      <c r="AF55" s="50">
        <f t="shared" si="42"/>
        <v>8.3721557226242426E-3</v>
      </c>
      <c r="AG55">
        <f t="shared" si="43"/>
        <v>0.90141843971631208</v>
      </c>
      <c r="AH55" s="37"/>
    </row>
    <row r="56" spans="2:34" x14ac:dyDescent="0.25">
      <c r="C56">
        <v>3610029</v>
      </c>
      <c r="D56" s="3">
        <v>7005</v>
      </c>
      <c r="E56">
        <v>2350</v>
      </c>
      <c r="F56">
        <v>2118</v>
      </c>
      <c r="G56" s="3">
        <f>Table3[[#This Row],[Price]]/Table3[[#This Row],[STC Watts]]</f>
        <v>2.9808510638297872</v>
      </c>
      <c r="H56">
        <v>317.7</v>
      </c>
      <c r="I56" s="39">
        <f>Table3[[#This Row],[Theoretical Monthly Output]]/Table3[[#This Row],[STC Watts]]</f>
        <v>0.13519148936170211</v>
      </c>
      <c r="J56" s="20">
        <f>((H56*$D$3)/5)*(Table3[[#This Row],[PTC Watts]]/Table3[[#This Row],[STC Watts]])</f>
        <v>257.70201702127656</v>
      </c>
      <c r="K56">
        <v>10</v>
      </c>
      <c r="L56" s="6">
        <f t="shared" si="22"/>
        <v>7755</v>
      </c>
      <c r="M56" s="21">
        <f t="shared" si="23"/>
        <v>0.12076008295280063</v>
      </c>
      <c r="N56" s="8">
        <f t="shared" si="24"/>
        <v>340.16666246808506</v>
      </c>
      <c r="O56" s="9">
        <f t="shared" si="25"/>
        <v>22.797648493045923</v>
      </c>
      <c r="P56" s="11">
        <f t="shared" si="26"/>
        <v>6803.3332493617017</v>
      </c>
      <c r="Q56" s="11">
        <f t="shared" si="27"/>
        <v>-951.66675063829825</v>
      </c>
      <c r="R56" s="11">
        <f t="shared" si="28"/>
        <v>749.16656170212718</v>
      </c>
      <c r="S56" s="11">
        <f t="shared" si="29"/>
        <v>2449.9998740425526</v>
      </c>
      <c r="T56" s="11">
        <f t="shared" si="30"/>
        <v>4150.8331863829781</v>
      </c>
      <c r="U56" s="11">
        <f t="shared" si="31"/>
        <v>5851.6664987234035</v>
      </c>
      <c r="V56" s="11">
        <f t="shared" si="32"/>
        <v>7552.499811063828</v>
      </c>
      <c r="W56" s="11">
        <f t="shared" si="33"/>
        <v>-6054.1666876595746</v>
      </c>
      <c r="X56" s="11">
        <f t="shared" si="34"/>
        <v>-4353.3333753191491</v>
      </c>
      <c r="Y56" s="11">
        <f t="shared" si="35"/>
        <v>-2652.5000629787237</v>
      </c>
      <c r="Z56" s="11">
        <f t="shared" si="36"/>
        <v>-951.66675063829825</v>
      </c>
      <c r="AA56" s="11">
        <f t="shared" si="37"/>
        <v>749.16656170212627</v>
      </c>
      <c r="AB56" s="7">
        <f t="shared" si="38"/>
        <v>-0.95613582688999554</v>
      </c>
      <c r="AC56" s="7">
        <f t="shared" si="39"/>
        <v>-0.78067913444997739</v>
      </c>
      <c r="AD56" s="7">
        <f t="shared" si="40"/>
        <v>-0.56135826889995477</v>
      </c>
      <c r="AE56" s="7">
        <f t="shared" si="41"/>
        <v>9.6604327750112989E-2</v>
      </c>
      <c r="AF56" s="50">
        <f t="shared" si="42"/>
        <v>3.4542616264952404E-3</v>
      </c>
      <c r="AG56">
        <f t="shared" si="43"/>
        <v>0.90127659574468089</v>
      </c>
      <c r="AH56" s="37"/>
    </row>
    <row r="57" spans="2:34" x14ac:dyDescent="0.25">
      <c r="C57">
        <v>3600058</v>
      </c>
      <c r="D57" s="3">
        <v>6732</v>
      </c>
      <c r="E57">
        <v>2880</v>
      </c>
      <c r="F57">
        <v>2617.1999999999998</v>
      </c>
      <c r="G57" s="3">
        <f>Table3[[#This Row],[Price]]/Table3[[#This Row],[STC Watts]]</f>
        <v>2.3374999999999999</v>
      </c>
      <c r="H57">
        <v>392.58</v>
      </c>
      <c r="I57" s="39">
        <f>Table3[[#This Row],[Theoretical Monthly Output]]/Table3[[#This Row],[STC Watts]]</f>
        <v>0.1363125</v>
      </c>
      <c r="J57" s="20">
        <f>((H57*$D$3)/5)*(Table3[[#This Row],[PTC Watts]]/Table3[[#This Row],[STC Watts]])</f>
        <v>321.0813675</v>
      </c>
      <c r="K57">
        <v>12</v>
      </c>
      <c r="L57" s="6">
        <f t="shared" si="22"/>
        <v>7632</v>
      </c>
      <c r="M57" s="21">
        <f t="shared" si="23"/>
        <v>0.15045987230552951</v>
      </c>
      <c r="N57" s="8">
        <f t="shared" si="24"/>
        <v>423.82740509999996</v>
      </c>
      <c r="O57" s="9">
        <f t="shared" si="25"/>
        <v>18.007330125807385</v>
      </c>
      <c r="P57" s="11">
        <f t="shared" si="26"/>
        <v>8476.5481019999988</v>
      </c>
      <c r="Q57" s="11">
        <f t="shared" si="27"/>
        <v>844.54810199999883</v>
      </c>
      <c r="R57" s="11">
        <f t="shared" si="28"/>
        <v>2963.6851274999985</v>
      </c>
      <c r="S57" s="11">
        <f t="shared" si="29"/>
        <v>5082.8221529999983</v>
      </c>
      <c r="T57" s="11">
        <f t="shared" si="30"/>
        <v>7201.9591784999984</v>
      </c>
      <c r="U57" s="11">
        <f t="shared" si="31"/>
        <v>9321.0962039999977</v>
      </c>
      <c r="V57" s="11">
        <f t="shared" si="32"/>
        <v>11440.233229499998</v>
      </c>
      <c r="W57" s="11">
        <f t="shared" si="33"/>
        <v>-5512.8629744999998</v>
      </c>
      <c r="X57" s="11">
        <f t="shared" si="34"/>
        <v>-3393.7259490000006</v>
      </c>
      <c r="Y57" s="11">
        <f t="shared" si="35"/>
        <v>-1274.5889235000004</v>
      </c>
      <c r="Z57" s="11">
        <f t="shared" si="36"/>
        <v>844.54810199999883</v>
      </c>
      <c r="AA57" s="11">
        <f t="shared" si="37"/>
        <v>2963.685127499999</v>
      </c>
      <c r="AB57" s="7">
        <f t="shared" si="38"/>
        <v>-0.94446705908018869</v>
      </c>
      <c r="AC57" s="7">
        <f t="shared" si="39"/>
        <v>-0.72233529540094332</v>
      </c>
      <c r="AD57" s="7">
        <f t="shared" si="40"/>
        <v>-0.44467059080188687</v>
      </c>
      <c r="AE57" s="7">
        <f t="shared" si="41"/>
        <v>0.38832352299528289</v>
      </c>
      <c r="AF57" s="50">
        <f t="shared" si="42"/>
        <v>1.3885206547037732E-2</v>
      </c>
      <c r="AG57">
        <f t="shared" si="43"/>
        <v>0.90874999999999995</v>
      </c>
      <c r="AH57" s="37"/>
    </row>
    <row r="58" spans="2:34" x14ac:dyDescent="0.25">
      <c r="C58">
        <v>3600160</v>
      </c>
      <c r="D58" s="3">
        <v>6615</v>
      </c>
      <c r="E58">
        <v>2940</v>
      </c>
      <c r="F58">
        <v>2657</v>
      </c>
      <c r="G58" s="3">
        <f>Table3[[#This Row],[Price]]/Table3[[#This Row],[STC Watts]]</f>
        <v>2.25</v>
      </c>
      <c r="H58">
        <v>399</v>
      </c>
      <c r="I58" s="39">
        <f>Table3[[#This Row],[Theoretical Monthly Output]]/Table3[[#This Row],[STC Watts]]</f>
        <v>0.1357142857142857</v>
      </c>
      <c r="J58" s="20">
        <f>((H58*$D$3)/5)*(Table3[[#This Row],[PTC Watts]]/Table3[[#This Row],[STC Watts]])</f>
        <v>324.53357142857146</v>
      </c>
      <c r="K58">
        <v>12</v>
      </c>
      <c r="L58" s="6">
        <f t="shared" si="22"/>
        <v>7515</v>
      </c>
      <c r="M58" s="21">
        <f t="shared" si="23"/>
        <v>0.15207758736109253</v>
      </c>
      <c r="N58" s="8">
        <f t="shared" si="24"/>
        <v>428.38431428571437</v>
      </c>
      <c r="O58" s="9">
        <f t="shared" si="25"/>
        <v>17.542659124973959</v>
      </c>
      <c r="P58" s="11">
        <f t="shared" si="26"/>
        <v>8567.6862857142878</v>
      </c>
      <c r="Q58" s="11">
        <f t="shared" si="27"/>
        <v>1052.6862857142878</v>
      </c>
      <c r="R58" s="11">
        <f t="shared" si="28"/>
        <v>3194.6078571428598</v>
      </c>
      <c r="S58" s="11">
        <f t="shared" si="29"/>
        <v>5336.5294285714317</v>
      </c>
      <c r="T58" s="11">
        <f t="shared" si="30"/>
        <v>7478.4510000000037</v>
      </c>
      <c r="U58" s="11">
        <f t="shared" si="31"/>
        <v>9620.3725714285756</v>
      </c>
      <c r="V58" s="11">
        <f t="shared" si="32"/>
        <v>11762.294142857147</v>
      </c>
      <c r="W58" s="11">
        <f t="shared" si="33"/>
        <v>-5373.078428571428</v>
      </c>
      <c r="X58" s="11">
        <f t="shared" si="34"/>
        <v>-3231.1568571428561</v>
      </c>
      <c r="Y58" s="11">
        <f t="shared" si="35"/>
        <v>-1089.2352857142841</v>
      </c>
      <c r="Z58" s="11">
        <f t="shared" si="36"/>
        <v>1052.6862857142878</v>
      </c>
      <c r="AA58" s="11">
        <f t="shared" si="37"/>
        <v>3194.6078571428588</v>
      </c>
      <c r="AB58" s="7">
        <f t="shared" si="38"/>
        <v>-0.9429960992301113</v>
      </c>
      <c r="AC58" s="7">
        <f t="shared" si="39"/>
        <v>-0.71498049615055592</v>
      </c>
      <c r="AD58" s="7">
        <f t="shared" si="40"/>
        <v>-0.4299609923011119</v>
      </c>
      <c r="AE58" s="7">
        <f t="shared" si="41"/>
        <v>0.42509751924722006</v>
      </c>
      <c r="AF58" s="50">
        <f t="shared" si="42"/>
        <v>1.5200126976218998E-2</v>
      </c>
      <c r="AG58">
        <f t="shared" si="43"/>
        <v>0.90374149659863945</v>
      </c>
      <c r="AH58" s="37"/>
    </row>
    <row r="59" spans="2:34" x14ac:dyDescent="0.25">
      <c r="C59">
        <v>1049872</v>
      </c>
      <c r="D59" s="3">
        <v>6175</v>
      </c>
      <c r="E59">
        <v>2450</v>
      </c>
      <c r="F59">
        <v>2214</v>
      </c>
      <c r="G59" s="3">
        <f>Table3[[#This Row],[Price]]/Table3[[#This Row],[STC Watts]]</f>
        <v>2.5204081632653059</v>
      </c>
      <c r="H59">
        <v>332</v>
      </c>
      <c r="I59" s="39">
        <f>Table3[[#This Row],[Theoretical Monthly Output]]/Table3[[#This Row],[STC Watts]]</f>
        <v>0.13551020408163264</v>
      </c>
      <c r="J59" s="20">
        <f>((H59*$D$3)/5)*(Table3[[#This Row],[PTC Watts]]/Table3[[#This Row],[STC Watts]])</f>
        <v>270.01763265306124</v>
      </c>
      <c r="K59">
        <v>10</v>
      </c>
      <c r="L59" s="6">
        <f t="shared" si="22"/>
        <v>6925</v>
      </c>
      <c r="M59" s="21">
        <f t="shared" si="23"/>
        <v>0.12653122429852917</v>
      </c>
      <c r="N59" s="8">
        <f t="shared" si="24"/>
        <v>356.42327510204086</v>
      </c>
      <c r="O59" s="9">
        <f t="shared" si="25"/>
        <v>19.429146421533311</v>
      </c>
      <c r="P59" s="11">
        <f t="shared" si="26"/>
        <v>7128.4655020408172</v>
      </c>
      <c r="Q59" s="11">
        <f t="shared" si="27"/>
        <v>203.46550204081723</v>
      </c>
      <c r="R59" s="11">
        <f t="shared" si="28"/>
        <v>1985.5818775510215</v>
      </c>
      <c r="S59" s="11">
        <f t="shared" si="29"/>
        <v>3767.6982530612258</v>
      </c>
      <c r="T59" s="11">
        <f t="shared" si="30"/>
        <v>5549.8146285714301</v>
      </c>
      <c r="U59" s="11">
        <f t="shared" si="31"/>
        <v>7331.9310040816345</v>
      </c>
      <c r="V59" s="11">
        <f t="shared" si="32"/>
        <v>9114.0473795918388</v>
      </c>
      <c r="W59" s="11">
        <f t="shared" si="33"/>
        <v>-5142.8836244897957</v>
      </c>
      <c r="X59" s="11">
        <f t="shared" si="34"/>
        <v>-3360.7672489795914</v>
      </c>
      <c r="Y59" s="11">
        <f t="shared" si="35"/>
        <v>-1578.6508734693871</v>
      </c>
      <c r="Z59" s="11">
        <f t="shared" si="36"/>
        <v>203.46550204081723</v>
      </c>
      <c r="AA59" s="11">
        <f t="shared" si="37"/>
        <v>1985.5818775510215</v>
      </c>
      <c r="AB59" s="7">
        <f t="shared" si="38"/>
        <v>-0.94853093500331542</v>
      </c>
      <c r="AC59" s="7">
        <f t="shared" si="39"/>
        <v>-0.742654675016577</v>
      </c>
      <c r="AD59" s="7">
        <f t="shared" si="40"/>
        <v>-0.48530935003315401</v>
      </c>
      <c r="AE59" s="7">
        <f t="shared" si="41"/>
        <v>0.28672662491711504</v>
      </c>
      <c r="AF59" s="50">
        <f t="shared" si="42"/>
        <v>1.02524265818363E-2</v>
      </c>
      <c r="AG59">
        <f t="shared" si="43"/>
        <v>0.90367346938775506</v>
      </c>
      <c r="AH59" s="37"/>
    </row>
    <row r="60" spans="2:34" x14ac:dyDescent="0.25">
      <c r="C60">
        <v>3600179</v>
      </c>
      <c r="D60" s="3">
        <v>5795</v>
      </c>
      <c r="E60">
        <v>2350</v>
      </c>
      <c r="F60">
        <v>2090</v>
      </c>
      <c r="G60" s="3">
        <f>Table3[[#This Row],[Price]]/Table3[[#This Row],[STC Watts]]</f>
        <v>2.4659574468085106</v>
      </c>
      <c r="H60">
        <v>313.5</v>
      </c>
      <c r="I60" s="39">
        <f>Table3[[#This Row],[Theoretical Monthly Output]]/Table3[[#This Row],[STC Watts]]</f>
        <v>0.13340425531914893</v>
      </c>
      <c r="J60" s="20">
        <f>((H60*$D$3)/5)*(Table3[[#This Row],[PTC Watts]]/Table3[[#This Row],[STC Watts]])</f>
        <v>250.93340425531912</v>
      </c>
      <c r="K60">
        <v>10</v>
      </c>
      <c r="L60" s="6">
        <f t="shared" si="22"/>
        <v>6545</v>
      </c>
      <c r="M60" s="21">
        <f t="shared" si="23"/>
        <v>0.11758828690502302</v>
      </c>
      <c r="N60" s="8">
        <f t="shared" si="24"/>
        <v>331.23209361702123</v>
      </c>
      <c r="O60" s="9">
        <f t="shared" si="25"/>
        <v>19.759558708605969</v>
      </c>
      <c r="P60" s="11">
        <f t="shared" si="26"/>
        <v>6624.6418723404249</v>
      </c>
      <c r="Q60" s="11">
        <f t="shared" si="27"/>
        <v>79.641872340424925</v>
      </c>
      <c r="R60" s="11">
        <f t="shared" si="28"/>
        <v>1735.8023404255312</v>
      </c>
      <c r="S60" s="11">
        <f t="shared" si="29"/>
        <v>3391.9628085106374</v>
      </c>
      <c r="T60" s="11">
        <f t="shared" si="30"/>
        <v>5048.1232765957438</v>
      </c>
      <c r="U60" s="11">
        <f t="shared" si="31"/>
        <v>6704.2837446808498</v>
      </c>
      <c r="V60" s="11">
        <f t="shared" si="32"/>
        <v>8360.4442127659568</v>
      </c>
      <c r="W60" s="11">
        <f t="shared" si="33"/>
        <v>-4888.839531914894</v>
      </c>
      <c r="X60" s="11">
        <f t="shared" si="34"/>
        <v>-3232.6790638297875</v>
      </c>
      <c r="Y60" s="11">
        <f t="shared" si="35"/>
        <v>-1576.5185957446811</v>
      </c>
      <c r="Z60" s="11">
        <f t="shared" si="36"/>
        <v>79.641872340424925</v>
      </c>
      <c r="AA60" s="11">
        <f t="shared" si="37"/>
        <v>1735.8023404255309</v>
      </c>
      <c r="AB60" s="7">
        <f t="shared" si="38"/>
        <v>-0.94939158233506171</v>
      </c>
      <c r="AC60" s="7">
        <f t="shared" si="39"/>
        <v>-0.74695791167530845</v>
      </c>
      <c r="AD60" s="7">
        <f t="shared" si="40"/>
        <v>-0.4939158233506169</v>
      </c>
      <c r="AE60" s="7">
        <f t="shared" si="41"/>
        <v>0.26521044162345775</v>
      </c>
      <c r="AF60" s="50">
        <f t="shared" si="42"/>
        <v>9.4830767190416543E-3</v>
      </c>
      <c r="AG60">
        <f t="shared" si="43"/>
        <v>0.88936170212765953</v>
      </c>
      <c r="AH60" s="37"/>
    </row>
    <row r="61" spans="2:34" x14ac:dyDescent="0.25">
      <c r="C61">
        <v>3600028</v>
      </c>
      <c r="D61" s="3">
        <v>5937</v>
      </c>
      <c r="E61">
        <v>1880</v>
      </c>
      <c r="F61">
        <v>1694</v>
      </c>
      <c r="G61" s="3">
        <f>Table3[[#This Row],[Price]]/Table3[[#This Row],[STC Watts]]</f>
        <v>3.1579787234042551</v>
      </c>
      <c r="H61">
        <v>254.2</v>
      </c>
      <c r="I61" s="39">
        <f>Table3[[#This Row],[Theoretical Monthly Output]]/Table3[[#This Row],[STC Watts]]</f>
        <v>0.1352127659574468</v>
      </c>
      <c r="J61" s="20">
        <f>((H61*$D$3)/5)*(Table3[[#This Row],[PTC Watts]]/Table3[[#This Row],[STC Watts]])</f>
        <v>206.1453829787234</v>
      </c>
      <c r="K61">
        <v>8</v>
      </c>
      <c r="L61" s="6">
        <f t="shared" si="22"/>
        <v>6537</v>
      </c>
      <c r="M61" s="21">
        <f t="shared" si="23"/>
        <v>9.6600460627330562E-2</v>
      </c>
      <c r="N61" s="8">
        <f t="shared" si="24"/>
        <v>272.11190553191494</v>
      </c>
      <c r="O61" s="9">
        <f t="shared" si="25"/>
        <v>24.023204670966891</v>
      </c>
      <c r="P61" s="11">
        <f t="shared" si="26"/>
        <v>5442.2381106382991</v>
      </c>
      <c r="Q61" s="11">
        <f t="shared" si="27"/>
        <v>-1094.7618893617009</v>
      </c>
      <c r="R61" s="11">
        <f t="shared" si="28"/>
        <v>265.79763829787385</v>
      </c>
      <c r="S61" s="11">
        <f t="shared" si="29"/>
        <v>1626.3571659574486</v>
      </c>
      <c r="T61" s="11">
        <f t="shared" si="30"/>
        <v>2986.9166936170232</v>
      </c>
      <c r="U61" s="11">
        <f t="shared" si="31"/>
        <v>4347.4762212765982</v>
      </c>
      <c r="V61" s="11">
        <f t="shared" si="32"/>
        <v>5708.0357489361722</v>
      </c>
      <c r="W61" s="11">
        <f t="shared" si="33"/>
        <v>-5176.440472340425</v>
      </c>
      <c r="X61" s="11">
        <f t="shared" si="34"/>
        <v>-3815.8809446808505</v>
      </c>
      <c r="Y61" s="11">
        <f t="shared" si="35"/>
        <v>-2455.3214170212759</v>
      </c>
      <c r="Z61" s="11">
        <f t="shared" si="36"/>
        <v>-1094.7618893617009</v>
      </c>
      <c r="AA61" s="11">
        <f t="shared" si="37"/>
        <v>265.79763829787316</v>
      </c>
      <c r="AB61" s="7">
        <f t="shared" si="38"/>
        <v>-0.95837358030718756</v>
      </c>
      <c r="AC61" s="7">
        <f t="shared" si="39"/>
        <v>-0.79186790153593778</v>
      </c>
      <c r="AD61" s="7">
        <f t="shared" si="40"/>
        <v>-0.58373580307187556</v>
      </c>
      <c r="AE61" s="7">
        <f t="shared" si="41"/>
        <v>4.0660492320311027E-2</v>
      </c>
      <c r="AF61" s="50">
        <f t="shared" si="42"/>
        <v>1.4538890917988974E-3</v>
      </c>
      <c r="AG61">
        <f t="shared" si="43"/>
        <v>0.90106382978723409</v>
      </c>
      <c r="AH61" s="37"/>
    </row>
    <row r="62" spans="2:34" x14ac:dyDescent="0.25">
      <c r="C62">
        <v>1049871</v>
      </c>
      <c r="D62" s="3">
        <v>5280</v>
      </c>
      <c r="E62">
        <v>1960</v>
      </c>
      <c r="F62">
        <v>1771</v>
      </c>
      <c r="G62" s="3">
        <f>Table3[[#This Row],[Price]]/Table3[[#This Row],[STC Watts]]</f>
        <v>2.693877551020408</v>
      </c>
      <c r="H62">
        <v>265.7</v>
      </c>
      <c r="I62" s="39">
        <f>Table3[[#This Row],[Theoretical Monthly Output]]/Table3[[#This Row],[STC Watts]]</f>
        <v>0.13556122448979591</v>
      </c>
      <c r="J62" s="20">
        <f>((H62*$D$3)/5)*(Table3[[#This Row],[PTC Watts]]/Table3[[#This Row],[STC Watts]])</f>
        <v>216.0710357142857</v>
      </c>
      <c r="K62">
        <v>8</v>
      </c>
      <c r="L62" s="6">
        <f t="shared" si="22"/>
        <v>5880</v>
      </c>
      <c r="M62" s="21">
        <f t="shared" si="23"/>
        <v>0.10125165684830632</v>
      </c>
      <c r="N62" s="8">
        <f t="shared" si="24"/>
        <v>285.21376714285714</v>
      </c>
      <c r="O62" s="9">
        <f t="shared" si="25"/>
        <v>20.616115620585877</v>
      </c>
      <c r="P62" s="11">
        <f t="shared" si="26"/>
        <v>5704.2753428571432</v>
      </c>
      <c r="Q62" s="11">
        <f t="shared" si="27"/>
        <v>-175.72465714285681</v>
      </c>
      <c r="R62" s="11">
        <f t="shared" si="28"/>
        <v>1250.344178571429</v>
      </c>
      <c r="S62" s="11">
        <f t="shared" si="29"/>
        <v>2676.4130142857148</v>
      </c>
      <c r="T62" s="11">
        <f t="shared" si="30"/>
        <v>4102.4818500000001</v>
      </c>
      <c r="U62" s="11">
        <f t="shared" si="31"/>
        <v>5528.5506857142864</v>
      </c>
      <c r="V62" s="11">
        <f t="shared" si="32"/>
        <v>6954.6195214285717</v>
      </c>
      <c r="W62" s="11">
        <f t="shared" si="33"/>
        <v>-4453.9311642857137</v>
      </c>
      <c r="X62" s="11">
        <f t="shared" si="34"/>
        <v>-3027.8623285714284</v>
      </c>
      <c r="Y62" s="11">
        <f t="shared" si="35"/>
        <v>-1601.7934928571431</v>
      </c>
      <c r="Z62" s="11">
        <f t="shared" si="36"/>
        <v>-175.72465714285681</v>
      </c>
      <c r="AA62" s="11">
        <f t="shared" si="37"/>
        <v>1250.3441785714285</v>
      </c>
      <c r="AB62" s="7">
        <f t="shared" si="38"/>
        <v>-0.95149425728862969</v>
      </c>
      <c r="AC62" s="7">
        <f t="shared" si="39"/>
        <v>-0.75747128644314865</v>
      </c>
      <c r="AD62" s="7">
        <f t="shared" si="40"/>
        <v>-0.5149425728862973</v>
      </c>
      <c r="AE62" s="7">
        <f t="shared" si="41"/>
        <v>0.21264356778425655</v>
      </c>
      <c r="AF62" s="50">
        <f t="shared" si="42"/>
        <v>7.6034535245481042E-3</v>
      </c>
      <c r="AG62">
        <f t="shared" si="43"/>
        <v>0.90357142857142858</v>
      </c>
      <c r="AH62" s="37"/>
    </row>
    <row r="63" spans="2:34" x14ac:dyDescent="0.25">
      <c r="B63" t="s">
        <v>95</v>
      </c>
      <c r="C63">
        <v>3600078</v>
      </c>
      <c r="D63" s="3">
        <v>4955</v>
      </c>
      <c r="E63">
        <v>1880</v>
      </c>
      <c r="F63">
        <v>1672</v>
      </c>
      <c r="G63" s="3">
        <f>Table3[[#This Row],[Price]]/Table3[[#This Row],[STC Watts]]</f>
        <v>2.6356382978723403</v>
      </c>
      <c r="H63">
        <v>313.5</v>
      </c>
      <c r="I63" s="39">
        <f>Table3[[#This Row],[Theoretical Monthly Output]]/Table3[[#This Row],[STC Watts]]</f>
        <v>0.16675531914893618</v>
      </c>
      <c r="J63" s="20">
        <f>((H63*$D$3)/5)*(Table3[[#This Row],[PTC Watts]]/Table3[[#This Row],[STC Watts]])</f>
        <v>250.93340425531912</v>
      </c>
      <c r="K63">
        <v>8</v>
      </c>
      <c r="L63" s="6">
        <f t="shared" si="22"/>
        <v>5555</v>
      </c>
      <c r="M63" s="21">
        <f t="shared" si="23"/>
        <v>0.11758828690502302</v>
      </c>
      <c r="N63" s="8">
        <f t="shared" si="24"/>
        <v>331.23209361702123</v>
      </c>
      <c r="O63" s="9">
        <f t="shared" si="25"/>
        <v>16.770717895539523</v>
      </c>
      <c r="P63" s="11">
        <f t="shared" si="26"/>
        <v>6624.6418723404249</v>
      </c>
      <c r="Q63" s="11">
        <f t="shared" si="27"/>
        <v>1069.6418723404249</v>
      </c>
      <c r="R63" s="11">
        <f t="shared" si="28"/>
        <v>2725.8023404255309</v>
      </c>
      <c r="S63" s="11">
        <f t="shared" si="29"/>
        <v>4381.9628085106378</v>
      </c>
      <c r="T63" s="11">
        <f t="shared" si="30"/>
        <v>6038.1232765957438</v>
      </c>
      <c r="U63" s="11">
        <f t="shared" si="31"/>
        <v>7694.2837446808498</v>
      </c>
      <c r="V63" s="11">
        <f t="shared" si="32"/>
        <v>9350.4442127659568</v>
      </c>
      <c r="W63" s="11">
        <f t="shared" si="33"/>
        <v>-3898.839531914894</v>
      </c>
      <c r="X63" s="11">
        <f t="shared" si="34"/>
        <v>-2242.6790638297875</v>
      </c>
      <c r="Y63" s="11">
        <f t="shared" si="35"/>
        <v>-586.51859574468108</v>
      </c>
      <c r="Z63" s="11">
        <f t="shared" si="36"/>
        <v>1069.6418723404249</v>
      </c>
      <c r="AA63" s="11">
        <f t="shared" si="37"/>
        <v>2725.8023404255309</v>
      </c>
      <c r="AB63" s="7">
        <f t="shared" si="38"/>
        <v>-0.94037226037497379</v>
      </c>
      <c r="AC63" s="7">
        <f t="shared" si="39"/>
        <v>-0.70186130187486839</v>
      </c>
      <c r="AD63" s="7">
        <f t="shared" si="40"/>
        <v>-0.40372260374973673</v>
      </c>
      <c r="AE63" s="7">
        <f t="shared" si="41"/>
        <v>0.49069349062565815</v>
      </c>
      <c r="AF63" s="50">
        <f t="shared" si="42"/>
        <v>1.7545629005603535E-2</v>
      </c>
      <c r="AG63">
        <f t="shared" si="43"/>
        <v>0.88936170212765953</v>
      </c>
      <c r="AH63" s="37"/>
    </row>
    <row r="64" spans="2:34" x14ac:dyDescent="0.25">
      <c r="C64">
        <v>2800355</v>
      </c>
      <c r="D64" s="3">
        <v>3625</v>
      </c>
      <c r="E64">
        <v>1000</v>
      </c>
      <c r="F64">
        <v>896</v>
      </c>
      <c r="G64" s="3">
        <f>Table3[[#This Row],[Price]]/Table3[[#This Row],[STC Watts]]</f>
        <v>3.625</v>
      </c>
      <c r="H64">
        <v>134.5</v>
      </c>
      <c r="I64" s="39">
        <f>Table3[[#This Row],[Theoretical Monthly Output]]/Table3[[#This Row],[STC Watts]]</f>
        <v>0.13450000000000001</v>
      </c>
      <c r="J64">
        <f>((H64*$D$3)/5)*(Table3[[#This Row],[PTC Watts]]/Table3[[#This Row],[STC Watts]])</f>
        <v>108.46080000000001</v>
      </c>
      <c r="K64">
        <v>4</v>
      </c>
      <c r="L64" s="6">
        <f t="shared" si="22"/>
        <v>3925</v>
      </c>
      <c r="M64" s="7">
        <f t="shared" si="23"/>
        <v>5.0825117150890352E-2</v>
      </c>
      <c r="N64" s="8">
        <f t="shared" si="24"/>
        <v>143.16825600000001</v>
      </c>
      <c r="O64" s="9">
        <f t="shared" si="25"/>
        <v>27.415295189458757</v>
      </c>
      <c r="P64" s="11">
        <f t="shared" si="26"/>
        <v>2863.3651200000004</v>
      </c>
      <c r="Q64" s="11">
        <f t="shared" si="27"/>
        <v>-1061.6348799999996</v>
      </c>
      <c r="R64" s="11">
        <f t="shared" si="28"/>
        <v>-345.79359999999951</v>
      </c>
      <c r="S64" s="11">
        <f t="shared" si="29"/>
        <v>370.04768000000058</v>
      </c>
      <c r="T64" s="11">
        <f t="shared" si="30"/>
        <v>1085.8889600000007</v>
      </c>
      <c r="U64" s="11">
        <f t="shared" si="31"/>
        <v>1801.7302400000008</v>
      </c>
      <c r="V64" s="11">
        <f t="shared" si="32"/>
        <v>2517.5715200000009</v>
      </c>
      <c r="W64" s="11">
        <f t="shared" si="33"/>
        <v>-3209.1587199999999</v>
      </c>
      <c r="X64" s="11">
        <f t="shared" si="34"/>
        <v>-2493.3174399999998</v>
      </c>
      <c r="Y64" s="11">
        <f t="shared" si="35"/>
        <v>-1777.4761599999997</v>
      </c>
      <c r="Z64" s="11">
        <f t="shared" si="36"/>
        <v>-1061.6348799999996</v>
      </c>
      <c r="AA64" s="11">
        <f t="shared" si="37"/>
        <v>-345.79359999999951</v>
      </c>
      <c r="AB64" s="7">
        <f t="shared" si="38"/>
        <v>-0.96352401121019116</v>
      </c>
      <c r="AC64" s="7">
        <f t="shared" si="39"/>
        <v>-0.81762005605095534</v>
      </c>
      <c r="AD64" s="7">
        <f t="shared" si="40"/>
        <v>-0.63524011210191078</v>
      </c>
      <c r="AE64" s="7">
        <f t="shared" si="41"/>
        <v>-8.8100280254776953E-2</v>
      </c>
      <c r="AF64" s="50">
        <f t="shared" si="42"/>
        <v>-3.1501841010140087E-3</v>
      </c>
      <c r="AG64">
        <f t="shared" si="43"/>
        <v>0.89600000000000002</v>
      </c>
      <c r="AH64" s="37"/>
    </row>
    <row r="65" spans="3:34" x14ac:dyDescent="0.25">
      <c r="C65">
        <v>2800356</v>
      </c>
      <c r="D65" s="3">
        <v>2740</v>
      </c>
      <c r="E65">
        <v>750</v>
      </c>
      <c r="F65">
        <v>672</v>
      </c>
      <c r="G65" s="3">
        <f>Table3[[#This Row],[Price]]/Table3[[#This Row],[STC Watts]]</f>
        <v>3.6533333333333333</v>
      </c>
      <c r="H65">
        <v>100.8</v>
      </c>
      <c r="I65" s="39">
        <f>Table3[[#This Row],[Theoretical Monthly Output]]/Table3[[#This Row],[STC Watts]]</f>
        <v>0.13439999999999999</v>
      </c>
      <c r="J65" s="20">
        <f>((H65*$D$3)/5)*(Table3[[#This Row],[PTC Watts]]/Table3[[#This Row],[STC Watts]])</f>
        <v>81.285120000000006</v>
      </c>
      <c r="K65">
        <v>3</v>
      </c>
      <c r="L65" s="6">
        <f t="shared" si="22"/>
        <v>2965</v>
      </c>
      <c r="M65" s="21">
        <f t="shared" si="23"/>
        <v>3.8090496719775074E-2</v>
      </c>
      <c r="N65" s="8">
        <f t="shared" si="24"/>
        <v>107.29635840000002</v>
      </c>
      <c r="O65" s="9">
        <f t="shared" si="25"/>
        <v>27.633743066530762</v>
      </c>
      <c r="P65" s="11">
        <f t="shared" si="26"/>
        <v>2145.9271680000002</v>
      </c>
      <c r="Q65" s="11">
        <f t="shared" si="27"/>
        <v>-819.07283199999983</v>
      </c>
      <c r="R65" s="11">
        <f t="shared" si="28"/>
        <v>-282.59103999999979</v>
      </c>
      <c r="S65" s="11">
        <f t="shared" si="29"/>
        <v>253.89075200000025</v>
      </c>
      <c r="T65" s="11">
        <f t="shared" si="30"/>
        <v>790.37254400000052</v>
      </c>
      <c r="U65" s="11">
        <f t="shared" si="31"/>
        <v>1326.8543360000003</v>
      </c>
      <c r="V65" s="11">
        <f t="shared" si="32"/>
        <v>1863.3361280000004</v>
      </c>
      <c r="W65" s="11">
        <f t="shared" si="33"/>
        <v>-2428.518208</v>
      </c>
      <c r="X65" s="11">
        <f t="shared" si="34"/>
        <v>-1892.0364159999999</v>
      </c>
      <c r="Y65" s="11">
        <f t="shared" si="35"/>
        <v>-1355.5546239999996</v>
      </c>
      <c r="Z65" s="11">
        <f t="shared" si="36"/>
        <v>-819.07283199999983</v>
      </c>
      <c r="AA65" s="11">
        <f t="shared" si="37"/>
        <v>-282.59103999999979</v>
      </c>
      <c r="AB65" s="7">
        <f t="shared" si="38"/>
        <v>-0.96381235804384491</v>
      </c>
      <c r="AC65" s="7">
        <f t="shared" si="39"/>
        <v>-0.81906179021922432</v>
      </c>
      <c r="AD65" s="7">
        <f t="shared" si="40"/>
        <v>-0.63812358043844852</v>
      </c>
      <c r="AE65" s="7">
        <f t="shared" si="41"/>
        <v>-9.530895109612135E-2</v>
      </c>
      <c r="AF65" s="50">
        <f t="shared" si="42"/>
        <v>-3.4079431025537919E-3</v>
      </c>
      <c r="AG65">
        <f t="shared" si="43"/>
        <v>0.89600000000000002</v>
      </c>
      <c r="AH65" s="37"/>
    </row>
    <row r="66" spans="3:34" x14ac:dyDescent="0.25">
      <c r="C66" s="16">
        <v>2800357</v>
      </c>
      <c r="D66" s="3">
        <v>2160</v>
      </c>
      <c r="E66">
        <v>500</v>
      </c>
      <c r="F66">
        <v>448</v>
      </c>
      <c r="G66" s="3">
        <f>Table3[[#This Row],[Price]]/Table3[[#This Row],[STC Watts]]</f>
        <v>4.32</v>
      </c>
      <c r="H66">
        <v>67</v>
      </c>
      <c r="I66" s="39">
        <f>Table3[[#This Row],[Theoretical Monthly Output]]/Table3[[#This Row],[STC Watts]]</f>
        <v>0.13400000000000001</v>
      </c>
      <c r="J66" s="20">
        <f>((H66*$D$3)/5)*(Table3[[#This Row],[PTC Watts]]/Table3[[#This Row],[STC Watts]])</f>
        <v>54.028799999999997</v>
      </c>
      <c r="K66">
        <v>2</v>
      </c>
      <c r="L66" s="6">
        <f t="shared" si="22"/>
        <v>2310</v>
      </c>
      <c r="M66" s="21">
        <f t="shared" si="23"/>
        <v>2.5318088097469538E-2</v>
      </c>
      <c r="N66" s="8">
        <f t="shared" si="24"/>
        <v>71.318016</v>
      </c>
      <c r="O66" s="9">
        <f t="shared" si="25"/>
        <v>32.390132669983416</v>
      </c>
      <c r="P66" s="11">
        <f t="shared" si="26"/>
        <v>1426.36032</v>
      </c>
      <c r="Q66" s="11">
        <f t="shared" si="27"/>
        <v>-883.63968</v>
      </c>
      <c r="R66" s="11">
        <f t="shared" si="28"/>
        <v>-527.04960000000005</v>
      </c>
      <c r="S66" s="11">
        <f t="shared" si="29"/>
        <v>-170.45952</v>
      </c>
      <c r="T66" s="11">
        <f t="shared" si="30"/>
        <v>186.13056000000006</v>
      </c>
      <c r="U66" s="11">
        <f t="shared" si="31"/>
        <v>542.72064</v>
      </c>
      <c r="V66" s="11">
        <f t="shared" si="32"/>
        <v>899.31071999999995</v>
      </c>
      <c r="W66" s="11">
        <f t="shared" si="33"/>
        <v>-1953.4099200000001</v>
      </c>
      <c r="X66" s="11">
        <f t="shared" si="34"/>
        <v>-1596.8198400000001</v>
      </c>
      <c r="Y66" s="11">
        <f t="shared" si="35"/>
        <v>-1240.2297599999999</v>
      </c>
      <c r="Z66" s="11">
        <f t="shared" si="36"/>
        <v>-883.63968</v>
      </c>
      <c r="AA66" s="11">
        <f t="shared" si="37"/>
        <v>-527.04960000000005</v>
      </c>
      <c r="AB66" s="7">
        <f t="shared" si="38"/>
        <v>-0.96912639999999994</v>
      </c>
      <c r="AC66" s="7">
        <f t="shared" si="39"/>
        <v>-0.84563200000000005</v>
      </c>
      <c r="AD66" s="7">
        <f t="shared" si="40"/>
        <v>-0.6912640000000001</v>
      </c>
      <c r="AE66" s="7">
        <f t="shared" si="41"/>
        <v>-0.22816000000000003</v>
      </c>
      <c r="AF66" s="50">
        <f t="shared" si="42"/>
        <v>-8.1582714880000014E-3</v>
      </c>
      <c r="AG66">
        <f t="shared" si="43"/>
        <v>0.89600000000000002</v>
      </c>
      <c r="AH66" s="37"/>
    </row>
    <row r="67" spans="3:34" x14ac:dyDescent="0.25">
      <c r="C67" s="16">
        <v>2800358</v>
      </c>
      <c r="D67" s="3">
        <v>1325</v>
      </c>
      <c r="E67">
        <v>250</v>
      </c>
      <c r="F67">
        <v>224</v>
      </c>
      <c r="G67" s="3">
        <f>Table3[[#This Row],[Price]]/Table3[[#This Row],[STC Watts]]</f>
        <v>5.3</v>
      </c>
      <c r="H67">
        <v>33.6</v>
      </c>
      <c r="I67" s="39">
        <f>Table3[[#This Row],[Theoretical Monthly Output]]/Table3[[#This Row],[STC Watts]]</f>
        <v>0.13440000000000002</v>
      </c>
      <c r="J67" s="20">
        <f>((H67*$D$3)/5)*(Table3[[#This Row],[PTC Watts]]/Table3[[#This Row],[STC Watts]])</f>
        <v>27.095040000000001</v>
      </c>
      <c r="K67">
        <v>1</v>
      </c>
      <c r="L67" s="6">
        <f t="shared" si="22"/>
        <v>1400</v>
      </c>
      <c r="M67" s="21">
        <f t="shared" si="23"/>
        <v>1.2696832239925024E-2</v>
      </c>
      <c r="N67" s="8">
        <f t="shared" si="24"/>
        <v>35.765452800000006</v>
      </c>
      <c r="O67" s="9">
        <f t="shared" si="25"/>
        <v>39.143919352252681</v>
      </c>
      <c r="P67" s="11">
        <f t="shared" si="26"/>
        <v>715.30905600000006</v>
      </c>
      <c r="Q67" s="11">
        <f t="shared" si="27"/>
        <v>-684.69094399999994</v>
      </c>
      <c r="R67" s="11">
        <f t="shared" si="28"/>
        <v>-505.86367999999993</v>
      </c>
      <c r="S67" s="11">
        <f t="shared" si="29"/>
        <v>-327.03641599999992</v>
      </c>
      <c r="T67" s="11">
        <f t="shared" si="30"/>
        <v>-148.2091519999999</v>
      </c>
      <c r="U67" s="11">
        <f t="shared" si="31"/>
        <v>30.61811200000011</v>
      </c>
      <c r="V67" s="11">
        <f t="shared" si="32"/>
        <v>209.44537600000024</v>
      </c>
      <c r="W67" s="11">
        <f t="shared" si="33"/>
        <v>-1221.172736</v>
      </c>
      <c r="X67" s="11">
        <f t="shared" si="34"/>
        <v>-1042.345472</v>
      </c>
      <c r="Y67" s="11">
        <f t="shared" si="35"/>
        <v>-863.51820799999996</v>
      </c>
      <c r="Z67" s="11">
        <f t="shared" si="36"/>
        <v>-684.69094399999994</v>
      </c>
      <c r="AA67" s="11">
        <f t="shared" si="37"/>
        <v>-505.86367999999982</v>
      </c>
      <c r="AB67" s="7">
        <f t="shared" si="38"/>
        <v>-0.97445324799999999</v>
      </c>
      <c r="AC67" s="7">
        <f t="shared" si="39"/>
        <v>-0.87226623999999997</v>
      </c>
      <c r="AD67" s="7">
        <f t="shared" si="40"/>
        <v>-0.74453247999999994</v>
      </c>
      <c r="AE67" s="7">
        <f t="shared" si="41"/>
        <v>-0.36133119999999985</v>
      </c>
      <c r="AF67" s="50">
        <f t="shared" si="42"/>
        <v>-1.2920047452159996E-2</v>
      </c>
      <c r="AG67">
        <f t="shared" si="43"/>
        <v>0.89600000000000002</v>
      </c>
      <c r="AH67" s="37"/>
    </row>
    <row r="68" spans="3:34" x14ac:dyDescent="0.25">
      <c r="C68" s="16">
        <v>8</v>
      </c>
      <c r="D68" s="3">
        <v>15000</v>
      </c>
      <c r="E68">
        <v>13200</v>
      </c>
      <c r="F68">
        <f>Table3[[#This Row],[STC Watts]]*0.9</f>
        <v>11880</v>
      </c>
      <c r="G68" s="3">
        <f>Table3[[#This Row],[Price]]/Table3[[#This Row],[STC Watts]]</f>
        <v>1.1363636363636365</v>
      </c>
      <c r="H68">
        <f>Table3[[#This Row],[STC Watts]]*0.136</f>
        <v>1795.2</v>
      </c>
      <c r="I68" s="39">
        <f>Table3[[#This Row],[Theoretical Monthly Output]]/Table3[[#This Row],[STC Watts]]</f>
        <v>0.13600000000000001</v>
      </c>
      <c r="J68" s="20">
        <f>((H68*$D$3)/5)*(Table3[[#This Row],[PTC Watts]]/Table3[[#This Row],[STC Watts]])</f>
        <v>1454.1120000000001</v>
      </c>
      <c r="K68">
        <v>24</v>
      </c>
      <c r="L68" s="6">
        <f t="shared" si="22"/>
        <v>16800</v>
      </c>
      <c r="M68" s="21">
        <f t="shared" ref="M68:M75" si="44">J68/$B$10</f>
        <v>0.68140206185567009</v>
      </c>
      <c r="N68" s="8">
        <f>($B$10*$D$2*12)*M68</f>
        <v>1919.4278400000001</v>
      </c>
      <c r="O68" s="9">
        <f t="shared" ref="O68:O75" si="45">L68/N68</f>
        <v>8.752608277266626</v>
      </c>
      <c r="P68" s="11">
        <f t="shared" ref="P68:P75" si="46">N68*20</f>
        <v>38388.556799999998</v>
      </c>
      <c r="Q68" s="11">
        <f t="shared" ref="Q68:Q75" si="47">P68-L68</f>
        <v>21588.556799999998</v>
      </c>
      <c r="R68" s="11">
        <f t="shared" ref="R68:R75" si="48">Q68+(N68*5)</f>
        <v>31185.695999999996</v>
      </c>
      <c r="S68" s="11">
        <f t="shared" ref="S68:S75" si="49">Q68+(N68*10)</f>
        <v>40782.835200000001</v>
      </c>
      <c r="T68" s="11">
        <f t="shared" ref="T68:T75" si="50">Q68+(N68*15)</f>
        <v>50379.974399999999</v>
      </c>
      <c r="U68" s="11">
        <f t="shared" ref="U68:U75" si="51">Q68+(N68*20)</f>
        <v>59977.113599999997</v>
      </c>
      <c r="V68" s="11">
        <f t="shared" ref="V68:V75" si="52">Q68+(N68*25)</f>
        <v>69574.252800000002</v>
      </c>
      <c r="W68" s="11">
        <f t="shared" ref="W68:W75" si="53">(N68*5)-L68</f>
        <v>-7202.8608000000004</v>
      </c>
      <c r="X68" s="11">
        <f t="shared" ref="X68:X75" si="54">(N68*10)-L68</f>
        <v>2394.2783999999992</v>
      </c>
      <c r="Y68" s="11">
        <f t="shared" ref="Y68:Y75" si="55">(N68*15)-L68</f>
        <v>11991.417600000001</v>
      </c>
      <c r="Z68" s="11">
        <f t="shared" ref="Z68:Z75" si="56">(N68*20)-L68</f>
        <v>21588.556799999998</v>
      </c>
      <c r="AA68" s="11">
        <f t="shared" ref="AA68:AA75" si="57">(N68*25)-L68</f>
        <v>31185.696000000004</v>
      </c>
      <c r="AB68" s="7">
        <f t="shared" ref="AB68:AB75" si="58">(N68-L68)/L68</f>
        <v>-0.88574834285714288</v>
      </c>
      <c r="AC68" s="7">
        <f t="shared" ref="AC68:AC75" si="59">(($N68*5)-$L68)/$L68</f>
        <v>-0.42874171428571428</v>
      </c>
      <c r="AD68" s="7">
        <f t="shared" ref="AD68:AD75" si="60">(($N68*10)-$L68)/$L68</f>
        <v>0.14251657142857138</v>
      </c>
      <c r="AE68" s="7">
        <f t="shared" ref="AE68:AE75" si="61">(($N68*25)-$L68)/$L68</f>
        <v>1.8562914285714287</v>
      </c>
      <c r="AF68" s="50">
        <f t="shared" ref="AF68:AF75" si="62">(((($N68*25)-$L68)/$L68)/25)*(0.89392)</f>
        <v>6.6375041353142858E-2</v>
      </c>
      <c r="AG68" s="20">
        <f t="shared" ref="AG68:AG75" si="63">F68/E68</f>
        <v>0.9</v>
      </c>
      <c r="AH68" s="37"/>
    </row>
    <row r="69" spans="3:34" x14ac:dyDescent="0.25">
      <c r="C69" s="16">
        <v>7</v>
      </c>
      <c r="D69" s="3">
        <v>15000</v>
      </c>
      <c r="E69">
        <v>8280</v>
      </c>
      <c r="F69">
        <f>Table3[[#This Row],[STC Watts]]*0.9</f>
        <v>7452</v>
      </c>
      <c r="G69" s="3">
        <f>Table3[[#This Row],[Price]]/Table3[[#This Row],[STC Watts]]</f>
        <v>1.8115942028985508</v>
      </c>
      <c r="H69">
        <f>Table3[[#This Row],[STC Watts]]*0.136</f>
        <v>1126.0800000000002</v>
      </c>
      <c r="I69" s="39">
        <f>Table3[[#This Row],[Theoretical Monthly Output]]/Table3[[#This Row],[STC Watts]]</f>
        <v>0.13600000000000001</v>
      </c>
      <c r="J69" s="20">
        <f>((H69*$D$3)/5)*(Table3[[#This Row],[PTC Watts]]/Table3[[#This Row],[STC Watts]])</f>
        <v>912.12480000000005</v>
      </c>
      <c r="K69">
        <v>24</v>
      </c>
      <c r="L69" s="6">
        <f t="shared" si="22"/>
        <v>16800</v>
      </c>
      <c r="M69" s="21">
        <f t="shared" si="44"/>
        <v>0.42742492970946583</v>
      </c>
      <c r="N69" s="8">
        <f t="shared" ref="N69:N75" si="64">($B$10*$D$2*12)*M69</f>
        <v>1204.0047360000001</v>
      </c>
      <c r="O69" s="9">
        <f t="shared" si="45"/>
        <v>13.953433485497518</v>
      </c>
      <c r="P69" s="11">
        <f t="shared" si="46"/>
        <v>24080.094720000001</v>
      </c>
      <c r="Q69" s="11">
        <f t="shared" si="47"/>
        <v>7280.094720000001</v>
      </c>
      <c r="R69" s="11">
        <f t="shared" si="48"/>
        <v>13300.118400000001</v>
      </c>
      <c r="S69" s="11">
        <f t="shared" si="49"/>
        <v>19320.142080000001</v>
      </c>
      <c r="T69" s="11">
        <f t="shared" si="50"/>
        <v>25340.165760000004</v>
      </c>
      <c r="U69" s="11">
        <f t="shared" si="51"/>
        <v>31360.189440000002</v>
      </c>
      <c r="V69" s="11">
        <f t="shared" si="52"/>
        <v>37380.21312</v>
      </c>
      <c r="W69" s="11">
        <f t="shared" si="53"/>
        <v>-10779.97632</v>
      </c>
      <c r="X69" s="11">
        <f t="shared" si="54"/>
        <v>-4759.9526399999995</v>
      </c>
      <c r="Y69" s="11">
        <f t="shared" si="55"/>
        <v>1260.0710400000025</v>
      </c>
      <c r="Z69" s="11">
        <f t="shared" si="56"/>
        <v>7280.094720000001</v>
      </c>
      <c r="AA69" s="11">
        <f t="shared" si="57"/>
        <v>13300.118400000003</v>
      </c>
      <c r="AB69" s="7">
        <f t="shared" si="58"/>
        <v>-0.92833305142857137</v>
      </c>
      <c r="AC69" s="7">
        <f t="shared" si="59"/>
        <v>-0.64166525714285716</v>
      </c>
      <c r="AD69" s="7">
        <f t="shared" si="60"/>
        <v>-0.28333051428571426</v>
      </c>
      <c r="AE69" s="7">
        <f t="shared" si="61"/>
        <v>0.79167371428571442</v>
      </c>
      <c r="AF69" s="50">
        <f t="shared" si="62"/>
        <v>2.8307718666971435E-2</v>
      </c>
      <c r="AG69" s="20">
        <f t="shared" si="63"/>
        <v>0.9</v>
      </c>
      <c r="AH69" s="37"/>
    </row>
    <row r="70" spans="3:34" x14ac:dyDescent="0.25">
      <c r="C70" s="16">
        <v>6</v>
      </c>
      <c r="D70" s="3">
        <v>15000</v>
      </c>
      <c r="E70">
        <v>9000</v>
      </c>
      <c r="F70">
        <f>Table3[[#This Row],[STC Watts]]*0.9</f>
        <v>8100</v>
      </c>
      <c r="G70" s="3">
        <f>Table3[[#This Row],[Price]]/Table3[[#This Row],[STC Watts]]</f>
        <v>1.6666666666666667</v>
      </c>
      <c r="H70">
        <f>Table3[[#This Row],[STC Watts]]*0.136</f>
        <v>1224</v>
      </c>
      <c r="I70" s="39">
        <f>Table3[[#This Row],[Theoretical Monthly Output]]/Table3[[#This Row],[STC Watts]]</f>
        <v>0.13600000000000001</v>
      </c>
      <c r="J70" s="20">
        <f>((H70*$D$3)/5)*(Table3[[#This Row],[PTC Watts]]/Table3[[#This Row],[STC Watts]])</f>
        <v>991.43999999999994</v>
      </c>
      <c r="K70">
        <v>24</v>
      </c>
      <c r="L70" s="6">
        <f t="shared" si="22"/>
        <v>16800</v>
      </c>
      <c r="M70" s="21">
        <f>J70/$B$10</f>
        <v>0.46459231490159325</v>
      </c>
      <c r="N70" s="8">
        <f t="shared" si="64"/>
        <v>1308.7008000000001</v>
      </c>
      <c r="O70" s="9">
        <f t="shared" si="45"/>
        <v>12.837158806657717</v>
      </c>
      <c r="P70" s="11">
        <f t="shared" si="46"/>
        <v>26174.016000000003</v>
      </c>
      <c r="Q70" s="11">
        <f t="shared" si="47"/>
        <v>9374.0160000000033</v>
      </c>
      <c r="R70" s="11">
        <f t="shared" si="48"/>
        <v>15917.520000000004</v>
      </c>
      <c r="S70" s="11">
        <f t="shared" si="49"/>
        <v>22461.024000000005</v>
      </c>
      <c r="T70" s="11">
        <f t="shared" si="50"/>
        <v>29004.528000000006</v>
      </c>
      <c r="U70" s="11">
        <f t="shared" si="51"/>
        <v>35548.032000000007</v>
      </c>
      <c r="V70" s="11">
        <f t="shared" si="52"/>
        <v>42091.536000000007</v>
      </c>
      <c r="W70" s="11">
        <f t="shared" si="53"/>
        <v>-10256.495999999999</v>
      </c>
      <c r="X70" s="11">
        <f t="shared" si="54"/>
        <v>-3712.9919999999984</v>
      </c>
      <c r="Y70" s="11">
        <f t="shared" si="55"/>
        <v>2830.5120000000024</v>
      </c>
      <c r="Z70" s="11">
        <f t="shared" si="56"/>
        <v>9374.0160000000033</v>
      </c>
      <c r="AA70" s="11">
        <f t="shared" si="57"/>
        <v>15917.52</v>
      </c>
      <c r="AB70" s="7">
        <f t="shared" si="58"/>
        <v>-0.92210114285714284</v>
      </c>
      <c r="AC70" s="7">
        <f t="shared" si="59"/>
        <v>-0.61050571428571421</v>
      </c>
      <c r="AD70" s="7">
        <f t="shared" si="60"/>
        <v>-0.22101142857142847</v>
      </c>
      <c r="AE70" s="7">
        <f t="shared" si="61"/>
        <v>0.94747142857142863</v>
      </c>
      <c r="AF70" s="50">
        <f t="shared" si="62"/>
        <v>3.3878546377142861E-2</v>
      </c>
      <c r="AG70" s="20">
        <f t="shared" si="63"/>
        <v>0.9</v>
      </c>
      <c r="AH70" s="37"/>
    </row>
    <row r="71" spans="3:34" x14ac:dyDescent="0.25">
      <c r="C71" s="16">
        <f>C40</f>
        <v>1</v>
      </c>
      <c r="D71" s="51">
        <v>15000</v>
      </c>
      <c r="E71" s="16">
        <f>E40</f>
        <v>14000</v>
      </c>
      <c r="F71" s="16">
        <f>F40</f>
        <v>12600</v>
      </c>
      <c r="G71" s="3">
        <f>Table3[[#This Row],[Price]]/Table3[[#This Row],[STC Watts]]</f>
        <v>1.0714285714285714</v>
      </c>
      <c r="H71">
        <f>H40</f>
        <v>1897</v>
      </c>
      <c r="I71" s="39">
        <f>Table3[[#This Row],[Theoretical Monthly Output]]/Table3[[#This Row],[STC Watts]]</f>
        <v>0.13550000000000001</v>
      </c>
      <c r="J71" s="20">
        <f>((H71*$D$3)/5)*(Table3[[#This Row],[PTC Watts]]/Table3[[#This Row],[STC Watts]])</f>
        <v>1536.57</v>
      </c>
      <c r="K71">
        <v>24</v>
      </c>
      <c r="L71" s="6">
        <f t="shared" ref="L71:L75" si="65">D71+(K71*75)</f>
        <v>16800</v>
      </c>
      <c r="M71" s="21">
        <f t="shared" si="44"/>
        <v>0.72004217432052475</v>
      </c>
      <c r="N71" s="8">
        <f>($B$10*$D$2*12)*M71</f>
        <v>2028.2723999999998</v>
      </c>
      <c r="O71" s="9">
        <f t="shared" si="45"/>
        <v>8.2829111119394021</v>
      </c>
      <c r="P71" s="11">
        <f t="shared" si="46"/>
        <v>40565.447999999997</v>
      </c>
      <c r="Q71" s="11">
        <f t="shared" si="47"/>
        <v>23765.447999999997</v>
      </c>
      <c r="R71" s="11">
        <f t="shared" si="48"/>
        <v>33906.81</v>
      </c>
      <c r="S71" s="11">
        <f t="shared" si="49"/>
        <v>44048.171999999991</v>
      </c>
      <c r="T71" s="11">
        <f t="shared" si="50"/>
        <v>54189.533999999992</v>
      </c>
      <c r="U71" s="11">
        <f t="shared" si="51"/>
        <v>64330.895999999993</v>
      </c>
      <c r="V71" s="11">
        <f t="shared" si="52"/>
        <v>74472.258000000002</v>
      </c>
      <c r="W71" s="11">
        <f t="shared" si="53"/>
        <v>-6658.6380000000008</v>
      </c>
      <c r="X71" s="11">
        <f t="shared" si="54"/>
        <v>3482.7239999999983</v>
      </c>
      <c r="Y71" s="11">
        <f t="shared" si="55"/>
        <v>13624.085999999996</v>
      </c>
      <c r="Z71" s="11">
        <f t="shared" si="56"/>
        <v>23765.447999999997</v>
      </c>
      <c r="AA71" s="11">
        <f t="shared" si="57"/>
        <v>33906.81</v>
      </c>
      <c r="AB71" s="7">
        <f t="shared" si="58"/>
        <v>-0.87926950000000004</v>
      </c>
      <c r="AC71" s="7">
        <f t="shared" si="59"/>
        <v>-0.39634750000000007</v>
      </c>
      <c r="AD71" s="7">
        <f t="shared" si="60"/>
        <v>0.20730499999999991</v>
      </c>
      <c r="AE71" s="7">
        <f t="shared" si="61"/>
        <v>2.0182625000000001</v>
      </c>
      <c r="AF71" s="50">
        <f t="shared" si="62"/>
        <v>7.2166608559999998E-2</v>
      </c>
      <c r="AG71" s="20">
        <f t="shared" si="63"/>
        <v>0.9</v>
      </c>
      <c r="AH71" s="37"/>
    </row>
    <row r="72" spans="3:34" x14ac:dyDescent="0.25">
      <c r="C72" s="16">
        <v>2</v>
      </c>
      <c r="D72" s="3">
        <v>15000</v>
      </c>
      <c r="E72">
        <v>15000</v>
      </c>
      <c r="F72">
        <f>Table3[[#This Row],[STC Watts]]*0.9</f>
        <v>13500</v>
      </c>
      <c r="G72" s="3">
        <f>Table3[[#This Row],[Price]]/Table3[[#This Row],[STC Watts]]</f>
        <v>1</v>
      </c>
      <c r="H72">
        <f>Table3[[#This Row],[STC Watts]]*0.136</f>
        <v>2040.0000000000002</v>
      </c>
      <c r="I72" s="39">
        <f>Table3[[#This Row],[Theoretical Monthly Output]]/Table3[[#This Row],[STC Watts]]</f>
        <v>0.13600000000000001</v>
      </c>
      <c r="J72" s="20">
        <f>((H72*$D$3)/5)*(Table3[[#This Row],[PTC Watts]]/Table3[[#This Row],[STC Watts]])</f>
        <v>1652.4000000000005</v>
      </c>
      <c r="K72">
        <v>24</v>
      </c>
      <c r="L72" s="6">
        <f t="shared" si="65"/>
        <v>16800</v>
      </c>
      <c r="M72" s="21">
        <f>J72/$B$10</f>
        <v>0.77432052483598901</v>
      </c>
      <c r="N72" s="8">
        <f t="shared" si="64"/>
        <v>2181.168000000001</v>
      </c>
      <c r="O72" s="9">
        <f>L72/N72</f>
        <v>7.7022952839946264</v>
      </c>
      <c r="P72" s="11">
        <f t="shared" si="46"/>
        <v>43623.360000000022</v>
      </c>
      <c r="Q72" s="11">
        <f t="shared" si="47"/>
        <v>26823.360000000022</v>
      </c>
      <c r="R72" s="11">
        <f t="shared" si="48"/>
        <v>37729.200000000026</v>
      </c>
      <c r="S72" s="11">
        <f t="shared" si="49"/>
        <v>48635.040000000037</v>
      </c>
      <c r="T72" s="11">
        <f t="shared" si="50"/>
        <v>59540.880000000034</v>
      </c>
      <c r="U72" s="11">
        <f t="shared" si="51"/>
        <v>70446.720000000045</v>
      </c>
      <c r="V72" s="11">
        <f t="shared" si="52"/>
        <v>81352.560000000056</v>
      </c>
      <c r="W72" s="11">
        <f t="shared" si="53"/>
        <v>-5894.1599999999944</v>
      </c>
      <c r="X72" s="11">
        <f t="shared" si="54"/>
        <v>5011.6800000000112</v>
      </c>
      <c r="Y72" s="11">
        <f t="shared" si="55"/>
        <v>15917.520000000015</v>
      </c>
      <c r="Z72" s="11">
        <f t="shared" si="56"/>
        <v>26823.360000000022</v>
      </c>
      <c r="AA72" s="11">
        <f t="shared" si="57"/>
        <v>37729.200000000026</v>
      </c>
      <c r="AB72" s="7">
        <f t="shared" si="58"/>
        <v>-0.87016857142857129</v>
      </c>
      <c r="AC72" s="7">
        <f t="shared" si="59"/>
        <v>-0.35084285714285679</v>
      </c>
      <c r="AD72" s="7">
        <f t="shared" si="60"/>
        <v>0.29831428571428636</v>
      </c>
      <c r="AE72" s="7">
        <f t="shared" si="61"/>
        <v>2.2457857142857161</v>
      </c>
      <c r="AF72" s="50">
        <f t="shared" si="62"/>
        <v>8.0302110628571496E-2</v>
      </c>
      <c r="AG72" s="20">
        <f t="shared" si="63"/>
        <v>0.9</v>
      </c>
      <c r="AH72" s="37"/>
    </row>
    <row r="73" spans="3:34" x14ac:dyDescent="0.25">
      <c r="C73" s="16">
        <v>3</v>
      </c>
      <c r="D73" s="3">
        <v>15000</v>
      </c>
      <c r="E73">
        <v>16000</v>
      </c>
      <c r="F73">
        <f>Table3[[#This Row],[STC Watts]]*0.9</f>
        <v>14400</v>
      </c>
      <c r="G73" s="3">
        <f>Table3[[#This Row],[Price]]/Table3[[#This Row],[STC Watts]]</f>
        <v>0.9375</v>
      </c>
      <c r="H73">
        <f>Table3[[#This Row],[STC Watts]]*0.136</f>
        <v>2176</v>
      </c>
      <c r="I73" s="39">
        <f>Table3[[#This Row],[Theoretical Monthly Output]]/Table3[[#This Row],[STC Watts]]</f>
        <v>0.13600000000000001</v>
      </c>
      <c r="J73" s="20">
        <f>((H73*$D$3)/5)*(Table3[[#This Row],[PTC Watts]]/Table3[[#This Row],[STC Watts]])</f>
        <v>1762.5600000000002</v>
      </c>
      <c r="K73">
        <v>24</v>
      </c>
      <c r="L73" s="6">
        <f t="shared" si="65"/>
        <v>16800</v>
      </c>
      <c r="M73" s="21">
        <f t="shared" si="44"/>
        <v>0.82594189315838806</v>
      </c>
      <c r="N73" s="8">
        <f t="shared" si="64"/>
        <v>2326.5792000000001</v>
      </c>
      <c r="O73" s="9">
        <f t="shared" si="45"/>
        <v>7.2209018287449656</v>
      </c>
      <c r="P73" s="11">
        <f t="shared" si="46"/>
        <v>46531.584000000003</v>
      </c>
      <c r="Q73" s="11">
        <f t="shared" si="47"/>
        <v>29731.584000000003</v>
      </c>
      <c r="R73" s="11">
        <f t="shared" si="48"/>
        <v>41364.480000000003</v>
      </c>
      <c r="S73" s="11">
        <f t="shared" si="49"/>
        <v>52997.376000000004</v>
      </c>
      <c r="T73" s="11">
        <f t="shared" si="50"/>
        <v>64630.272000000004</v>
      </c>
      <c r="U73" s="11">
        <f t="shared" si="51"/>
        <v>76263.168000000005</v>
      </c>
      <c r="V73" s="11">
        <f t="shared" si="52"/>
        <v>87896.064000000013</v>
      </c>
      <c r="W73" s="11">
        <f t="shared" si="53"/>
        <v>-5167.1039999999994</v>
      </c>
      <c r="X73" s="11">
        <f t="shared" si="54"/>
        <v>6465.7920000000013</v>
      </c>
      <c r="Y73" s="11">
        <f t="shared" si="55"/>
        <v>18098.688000000002</v>
      </c>
      <c r="Z73" s="11">
        <f t="shared" si="56"/>
        <v>29731.584000000003</v>
      </c>
      <c r="AA73" s="11">
        <f t="shared" si="57"/>
        <v>41364.480000000003</v>
      </c>
      <c r="AB73" s="7">
        <f t="shared" si="58"/>
        <v>-0.86151314285714287</v>
      </c>
      <c r="AC73" s="7">
        <f t="shared" si="59"/>
        <v>-0.30756571428571422</v>
      </c>
      <c r="AD73" s="7">
        <f t="shared" si="60"/>
        <v>0.3848685714285715</v>
      </c>
      <c r="AE73" s="7">
        <f t="shared" si="61"/>
        <v>2.4621714285714287</v>
      </c>
      <c r="AF73" s="50">
        <f t="shared" si="62"/>
        <v>8.8039371337142874E-2</v>
      </c>
      <c r="AG73" s="20">
        <f t="shared" si="63"/>
        <v>0.9</v>
      </c>
      <c r="AH73" s="37"/>
    </row>
    <row r="74" spans="3:34" x14ac:dyDescent="0.25">
      <c r="C74" s="16">
        <v>4</v>
      </c>
      <c r="D74" s="3">
        <v>15000</v>
      </c>
      <c r="E74">
        <v>17000</v>
      </c>
      <c r="F74">
        <f>Table3[[#This Row],[STC Watts]]*0.9</f>
        <v>15300</v>
      </c>
      <c r="G74" s="3">
        <f>Table3[[#This Row],[Price]]/Table3[[#This Row],[STC Watts]]</f>
        <v>0.88235294117647056</v>
      </c>
      <c r="H74">
        <f>Table3[[#This Row],[STC Watts]]*0.136</f>
        <v>2312</v>
      </c>
      <c r="I74" s="39">
        <f>Table3[[#This Row],[Theoretical Monthly Output]]/Table3[[#This Row],[STC Watts]]</f>
        <v>0.13600000000000001</v>
      </c>
      <c r="J74" s="20">
        <f>((H74*$D$3)/5)*(Table3[[#This Row],[PTC Watts]]/Table3[[#This Row],[STC Watts]])</f>
        <v>1872.7200000000003</v>
      </c>
      <c r="K74">
        <v>24</v>
      </c>
      <c r="L74" s="6">
        <f t="shared" si="65"/>
        <v>16800</v>
      </c>
      <c r="M74" s="21">
        <f t="shared" si="44"/>
        <v>0.87756326148078734</v>
      </c>
      <c r="N74" s="8">
        <f t="shared" si="64"/>
        <v>2471.9904000000001</v>
      </c>
      <c r="O74" s="9">
        <f t="shared" si="45"/>
        <v>6.7961428976423202</v>
      </c>
      <c r="P74" s="11">
        <f t="shared" si="46"/>
        <v>49439.808000000005</v>
      </c>
      <c r="Q74" s="11">
        <f t="shared" si="47"/>
        <v>32639.808000000005</v>
      </c>
      <c r="R74" s="11">
        <f t="shared" si="48"/>
        <v>44999.760000000009</v>
      </c>
      <c r="S74" s="11">
        <f t="shared" si="49"/>
        <v>57359.712000000007</v>
      </c>
      <c r="T74" s="11">
        <f t="shared" si="50"/>
        <v>69719.664000000004</v>
      </c>
      <c r="U74" s="11">
        <f t="shared" si="51"/>
        <v>82079.616000000009</v>
      </c>
      <c r="V74" s="11">
        <f t="shared" si="52"/>
        <v>94439.567999999999</v>
      </c>
      <c r="W74" s="11">
        <f t="shared" si="53"/>
        <v>-4440.0479999999989</v>
      </c>
      <c r="X74" s="11">
        <f t="shared" si="54"/>
        <v>7919.9040000000023</v>
      </c>
      <c r="Y74" s="11">
        <f t="shared" si="55"/>
        <v>20279.856</v>
      </c>
      <c r="Z74" s="11">
        <f t="shared" si="56"/>
        <v>32639.808000000005</v>
      </c>
      <c r="AA74" s="11">
        <f t="shared" si="57"/>
        <v>44999.76</v>
      </c>
      <c r="AB74" s="7">
        <f t="shared" si="58"/>
        <v>-0.85285771428571422</v>
      </c>
      <c r="AC74" s="7">
        <f t="shared" si="59"/>
        <v>-0.26428857142857137</v>
      </c>
      <c r="AD74" s="7">
        <f t="shared" si="60"/>
        <v>0.47142285714285725</v>
      </c>
      <c r="AE74" s="7">
        <f t="shared" si="61"/>
        <v>2.6785571428571431</v>
      </c>
      <c r="AF74" s="50">
        <f t="shared" si="62"/>
        <v>9.5776632045714294E-2</v>
      </c>
      <c r="AG74" s="20">
        <f t="shared" si="63"/>
        <v>0.9</v>
      </c>
      <c r="AH74" s="37"/>
    </row>
    <row r="75" spans="3:34" x14ac:dyDescent="0.25">
      <c r="C75" s="16">
        <v>5</v>
      </c>
      <c r="D75" s="3">
        <v>15000</v>
      </c>
      <c r="E75">
        <v>18000</v>
      </c>
      <c r="F75">
        <f>Table3[[#This Row],[STC Watts]]*0.9</f>
        <v>16200</v>
      </c>
      <c r="G75" s="3">
        <f>Table3[[#This Row],[Price]]/Table3[[#This Row],[STC Watts]]</f>
        <v>0.83333333333333337</v>
      </c>
      <c r="H75">
        <f>Table3[[#This Row],[STC Watts]]*0.136</f>
        <v>2448</v>
      </c>
      <c r="I75" s="39">
        <f>Table3[[#This Row],[Theoretical Monthly Output]]/Table3[[#This Row],[STC Watts]]</f>
        <v>0.13600000000000001</v>
      </c>
      <c r="J75" s="20">
        <f>((H75*$D$3)/5)*(Table3[[#This Row],[PTC Watts]]/Table3[[#This Row],[STC Watts]])</f>
        <v>1982.8799999999999</v>
      </c>
      <c r="K75">
        <v>24</v>
      </c>
      <c r="L75" s="6">
        <f t="shared" si="65"/>
        <v>16800</v>
      </c>
      <c r="M75" s="21">
        <f t="shared" si="44"/>
        <v>0.9291846298031865</v>
      </c>
      <c r="N75" s="8">
        <f t="shared" si="64"/>
        <v>2617.4016000000001</v>
      </c>
      <c r="O75" s="9">
        <f t="shared" si="45"/>
        <v>6.4185794033288586</v>
      </c>
      <c r="P75" s="11">
        <f t="shared" si="46"/>
        <v>52348.032000000007</v>
      </c>
      <c r="Q75" s="11">
        <f t="shared" si="47"/>
        <v>35548.032000000007</v>
      </c>
      <c r="R75" s="11">
        <f t="shared" si="48"/>
        <v>48635.040000000008</v>
      </c>
      <c r="S75" s="11">
        <f t="shared" si="49"/>
        <v>61722.04800000001</v>
      </c>
      <c r="T75" s="11">
        <f t="shared" si="50"/>
        <v>74809.056000000011</v>
      </c>
      <c r="U75" s="11">
        <f t="shared" si="51"/>
        <v>87896.064000000013</v>
      </c>
      <c r="V75" s="11">
        <f t="shared" si="52"/>
        <v>100983.07200000001</v>
      </c>
      <c r="W75" s="11">
        <f t="shared" si="53"/>
        <v>-3712.9919999999984</v>
      </c>
      <c r="X75" s="11">
        <f t="shared" si="54"/>
        <v>9374.0160000000033</v>
      </c>
      <c r="Y75" s="11">
        <f t="shared" si="55"/>
        <v>22461.024000000005</v>
      </c>
      <c r="Z75" s="11">
        <f t="shared" si="56"/>
        <v>35548.032000000007</v>
      </c>
      <c r="AA75" s="11">
        <f t="shared" si="57"/>
        <v>48635.040000000001</v>
      </c>
      <c r="AB75" s="7">
        <f t="shared" si="58"/>
        <v>-0.84420228571428568</v>
      </c>
      <c r="AC75" s="7">
        <f t="shared" si="59"/>
        <v>-0.22101142857142847</v>
      </c>
      <c r="AD75" s="7">
        <f t="shared" si="60"/>
        <v>0.55797714285714306</v>
      </c>
      <c r="AE75" s="7">
        <f t="shared" si="61"/>
        <v>2.894942857142857</v>
      </c>
      <c r="AF75" s="50">
        <f t="shared" si="62"/>
        <v>0.10351389275428571</v>
      </c>
      <c r="AG75" s="20">
        <f t="shared" si="63"/>
        <v>0.9</v>
      </c>
      <c r="AH75" s="37"/>
    </row>
    <row r="76" spans="3:34" x14ac:dyDescent="0.25">
      <c r="C76" s="16" t="s">
        <v>130</v>
      </c>
      <c r="D76" s="3">
        <v>17652</v>
      </c>
      <c r="E76">
        <v>13000</v>
      </c>
      <c r="F76">
        <v>11747</v>
      </c>
      <c r="G76" s="3">
        <f>Table3[[#This Row],[Price]]/Table3[[#This Row],[STC Watts]]</f>
        <v>1.3578461538461539</v>
      </c>
      <c r="H76">
        <f>Table3[[#This Row],[STC Watts]]*0.136</f>
        <v>1768.0000000000002</v>
      </c>
      <c r="I76" s="39">
        <f>Table3[[#This Row],[Theoretical Monthly Output]]/Table3[[#This Row],[STC Watts]]</f>
        <v>0.13600000000000001</v>
      </c>
      <c r="J76" s="20">
        <f>((H76*$D$3)/5)*(Table3[[#This Row],[PTC Watts]]/Table3[[#This Row],[STC Watts]])</f>
        <v>1437.8328000000001</v>
      </c>
      <c r="K76">
        <v>24</v>
      </c>
      <c r="L76" s="6">
        <f>D76+(K76*75)</f>
        <v>19452</v>
      </c>
      <c r="M76" s="21">
        <f>J76/$B$10</f>
        <v>0.6737735707591378</v>
      </c>
      <c r="N76" s="8">
        <f>($B$10*$D$2*12)*M76</f>
        <v>1897.9392960000002</v>
      </c>
      <c r="O76" s="9">
        <f>L76/N76</f>
        <v>10.249010619568308</v>
      </c>
      <c r="P76" s="11">
        <f>N76*20</f>
        <v>37958.785920000002</v>
      </c>
      <c r="Q76" s="11">
        <f>P76-L76</f>
        <v>18506.785920000002</v>
      </c>
      <c r="R76" s="11">
        <f>Q76+(N76*5)</f>
        <v>27996.482400000001</v>
      </c>
      <c r="S76" s="11">
        <f>Q76+(N76*10)</f>
        <v>37486.178880000007</v>
      </c>
      <c r="T76" s="11">
        <f>Q76+(N76*15)</f>
        <v>46975.875360000005</v>
      </c>
      <c r="U76" s="11">
        <f>Q76+(N76*20)</f>
        <v>56465.571840000004</v>
      </c>
      <c r="V76" s="11">
        <f>Q76+(N76*25)</f>
        <v>65955.268320000003</v>
      </c>
      <c r="W76" s="11">
        <f>(N76*5)-L76</f>
        <v>-9962.3035199999995</v>
      </c>
      <c r="X76" s="11">
        <f>(N76*10)-L76</f>
        <v>-472.60703999999896</v>
      </c>
      <c r="Y76" s="11">
        <f>(N76*15)-L76</f>
        <v>9017.0894400000034</v>
      </c>
      <c r="Z76" s="11">
        <f>(N76*20)-L76</f>
        <v>18506.785920000002</v>
      </c>
      <c r="AA76" s="11">
        <f>(N76*25)-L76</f>
        <v>27996.482400000008</v>
      </c>
      <c r="AB76" s="55">
        <f>(N76-L76)/L76</f>
        <v>-0.90242960641579273</v>
      </c>
      <c r="AC76" s="55">
        <f>(($N76*5)-$L76)/$L76</f>
        <v>-0.51214803207896353</v>
      </c>
      <c r="AD76" s="55">
        <f>(($N76*10)-$L76)/$L76</f>
        <v>-2.4296064157927153E-2</v>
      </c>
      <c r="AE76" s="55">
        <f>(($N76*25)-$L76)/$L76</f>
        <v>1.4392598396051823</v>
      </c>
      <c r="AF76" s="50">
        <f>(((($N76*25)-$L76)/$L76)/25)*(0.89392)</f>
        <v>5.1463326232794586E-2</v>
      </c>
      <c r="AG76" s="20">
        <f>F76/E76</f>
        <v>0.9036153846153846</v>
      </c>
      <c r="AH76" s="37"/>
    </row>
    <row r="77" spans="3:34" x14ac:dyDescent="0.25">
      <c r="C77">
        <f>Sheet2!I3</f>
        <v>3600080</v>
      </c>
      <c r="D77" s="3">
        <f>Sheet2!K3</f>
        <v>8070</v>
      </c>
      <c r="E77">
        <f>SUBTOTAL(101,Table3[STC Watts])</f>
        <v>8564.5714285714294</v>
      </c>
      <c r="F77">
        <f>SUBTOTAL(101,Table3[PTC Watts])</f>
        <v>7725.5614285714291</v>
      </c>
      <c r="G77" s="3">
        <f>SUBTOTAL(101,Table3[$/Watt])</f>
        <v>2.2323155409264577</v>
      </c>
      <c r="H77">
        <f>SUBTOTAL(101,Table3[Theoretical Monthly Output])</f>
        <v>1161.310857142857</v>
      </c>
      <c r="J77" s="20">
        <f>SUBTOTAL(101,Table3[Real Monthly Output])</f>
        <v>942.80414454525055</v>
      </c>
      <c r="K77">
        <f>Sheet2!G3</f>
        <v>15</v>
      </c>
      <c r="L77" s="43">
        <f>SUBTOTAL(101,Table3[Total Price])</f>
        <v>18986.128571428573</v>
      </c>
      <c r="M77" s="44">
        <f>SUBTOTAL(101,Table3[kWh Reduced])</f>
        <v>0.44180137982439099</v>
      </c>
      <c r="N77" s="43">
        <f>SUBTOTAL(101,Table3[Yearly Savings])</f>
        <v>1244.5014707997309</v>
      </c>
      <c r="O77" s="9">
        <f>SUBTOTAL(101,Table3['# Years Payback])</f>
        <v>17.365311994297013</v>
      </c>
      <c r="P77" s="11">
        <f>SUBTOTAL(101,Table3[HVI])</f>
        <v>24890.029415994621</v>
      </c>
      <c r="Q77" s="11">
        <f>SUBTOTAL(101,Table3[Initial W/])</f>
        <v>5903.9008445660447</v>
      </c>
      <c r="R77" s="11">
        <f>SUBTOTAL(101,Table3[5yr W/])</f>
        <v>12126.408198564706</v>
      </c>
      <c r="S77" s="11">
        <f>SUBTOTAL(101,Table3[10yr W/])</f>
        <v>18348.915552563351</v>
      </c>
      <c r="T77" s="11">
        <f>SUBTOTAL(101,Table3[15yr W/])</f>
        <v>24571.422906562009</v>
      </c>
      <c r="U77" s="11">
        <f>SUBTOTAL(101,Table3[20yr W/])</f>
        <v>30793.930260560668</v>
      </c>
      <c r="V77" s="11">
        <f>SUBTOTAL(101,Table3[25yr W/])</f>
        <v>37016.437614559312</v>
      </c>
      <c r="W77" s="11">
        <f>SUBTOTAL(101,Table3[5 w/o])</f>
        <v>-12763.621217429922</v>
      </c>
      <c r="X77" s="11">
        <f>SUBTOTAL(101,Table3[10 w/o])</f>
        <v>-6541.1138634312601</v>
      </c>
      <c r="Y77" s="11">
        <f>SUBTOTAL(101,Table3[15 w/o])</f>
        <v>-318.60650943260919</v>
      </c>
      <c r="Z77" s="11">
        <f>SUBTOTAL(101,Table3[20 w/o])</f>
        <v>5903.9008445660447</v>
      </c>
      <c r="AA77" s="11">
        <f>SUBTOTAL(101,Table3[25 w/o])</f>
        <v>12126.408198564706</v>
      </c>
      <c r="AB77" s="44"/>
      <c r="AC77" s="44"/>
      <c r="AD77" s="44"/>
      <c r="AE77" s="44"/>
      <c r="AF77" s="44"/>
      <c r="AG77" s="45">
        <f>SUBTOTAL(101,Table3[Watt %])</f>
        <v>0.90107459376119137</v>
      </c>
      <c r="AH77" s="45"/>
    </row>
  </sheetData>
  <sheetProtection password="C64A" sheet="1" objects="1" scenarios="1"/>
  <mergeCells count="11">
    <mergeCell ref="A1:L1"/>
    <mergeCell ref="E2:G2"/>
    <mergeCell ref="N1:R2"/>
    <mergeCell ref="O3:Q3"/>
    <mergeCell ref="P5:W5"/>
    <mergeCell ref="A2:C2"/>
    <mergeCell ref="A3:C3"/>
    <mergeCell ref="A4:B4"/>
    <mergeCell ref="H5:I5"/>
    <mergeCell ref="E5:F5"/>
    <mergeCell ref="C4:G4"/>
  </mergeCells>
  <conditionalFormatting sqref="A4:B10">
    <cfRule type="dataBar" priority="2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{9C7D9A9A-A5CA-4FDF-BD5C-910239BC943D}</x14:id>
        </ext>
      </extLst>
    </cfRule>
  </conditionalFormatting>
  <conditionalFormatting sqref="O7:O76">
    <cfRule type="dataBar" priority="23">
      <dataBar>
        <cfvo type="min"/>
        <cfvo type="max"/>
        <color rgb="FFFFC000"/>
      </dataBar>
      <extLst>
        <ext xmlns:x14="http://schemas.microsoft.com/office/spreadsheetml/2009/9/main" uri="{B025F937-C7B1-47D3-B67F-A62EFF666E3E}">
          <x14:id>{64526A76-6755-48A9-8FCD-9F679F75FD3A}</x14:id>
        </ext>
      </extLst>
    </cfRule>
  </conditionalFormatting>
  <conditionalFormatting sqref="Q7:Q76">
    <cfRule type="colorScale" priority="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R7:R76">
    <cfRule type="colorScale" priority="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S7:V76">
    <cfRule type="colorScale" priority="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7:W76">
    <cfRule type="colorScale" priority="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7:X76">
    <cfRule type="colorScale" priority="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7:N76">
    <cfRule type="dataBar" priority="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{28F8B9E9-EA80-4F6B-B0DA-9FE01ABB5B0B}</x14:id>
        </ext>
      </extLst>
    </cfRule>
  </conditionalFormatting>
  <conditionalFormatting sqref="M7:M76">
    <cfRule type="dataBar" priority="1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{3D79C00D-C607-4717-AB2A-1B0D858C2678}</x14:id>
        </ext>
      </extLst>
    </cfRule>
  </conditionalFormatting>
  <conditionalFormatting sqref="L7:L76">
    <cfRule type="dataBar" priority="1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{846B2894-04BD-481B-BB39-C0A9D4626081}</x14:id>
        </ext>
      </extLst>
    </cfRule>
  </conditionalFormatting>
  <conditionalFormatting sqref="G7:G76">
    <cfRule type="colorScale" priority="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S7:S76">
    <cfRule type="colorScale" priority="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7:T76">
    <cfRule type="colorScale" priority="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U7:U76">
    <cfRule type="colorScale" priority="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7:V76">
    <cfRule type="colorScale" priority="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Y7:Y76">
    <cfRule type="colorScale" priority="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Z7:Z76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A7:AA76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7:AA76">
    <cfRule type="cellIs" dxfId="53" priority="5" operator="greaterThan">
      <formula>0</formula>
    </cfRule>
  </conditionalFormatting>
  <conditionalFormatting sqref="AE78:AE1048576 AF77 AE1:AE5 AF6:AF7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7:AH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F7:AF76">
    <cfRule type="cellIs" dxfId="52" priority="1" operator="greaterThanOrEqual">
      <formula>0.0283</formula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J2" r:id="rId1"/>
  </hyperlinks>
  <pageMargins left="0.25" right="0.25" top="0.75" bottom="0.75" header="0.3" footer="0.3"/>
  <pageSetup scale="87" orientation="landscape" r:id="rId2"/>
  <cellWatches>
    <cellWatch r="AF69"/>
  </cellWatches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C7D9A9A-A5CA-4FDF-BD5C-910239BC943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A4:B10</xm:sqref>
        </x14:conditionalFormatting>
        <x14:conditionalFormatting xmlns:xm="http://schemas.microsoft.com/office/excel/2006/main">
          <x14:cfRule type="dataBar" id="{64526A76-6755-48A9-8FCD-9F679F75FD3A}">
            <x14:dataBar minLength="0" maxLength="100" border="1" negativeBarBorderColorSameAsPositive="0">
              <x14:cfvo type="autoMin"/>
              <x14:cfvo type="autoMax"/>
              <x14:borderColor rgb="FFFFC000"/>
              <x14:negativeFillColor rgb="FFFF0000"/>
              <x14:negativeBorderColor rgb="FFFF0000"/>
              <x14:axisColor rgb="FF000000"/>
            </x14:dataBar>
          </x14:cfRule>
          <xm:sqref>O7:O76</xm:sqref>
        </x14:conditionalFormatting>
        <x14:conditionalFormatting xmlns:xm="http://schemas.microsoft.com/office/excel/2006/main">
          <x14:cfRule type="dataBar" id="{28F8B9E9-EA80-4F6B-B0DA-9FE01ABB5B0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N7:N76</xm:sqref>
        </x14:conditionalFormatting>
        <x14:conditionalFormatting xmlns:xm="http://schemas.microsoft.com/office/excel/2006/main">
          <x14:cfRule type="dataBar" id="{3D79C00D-C607-4717-AB2A-1B0D858C2678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M7:M76</xm:sqref>
        </x14:conditionalFormatting>
        <x14:conditionalFormatting xmlns:xm="http://schemas.microsoft.com/office/excel/2006/main">
          <x14:cfRule type="dataBar" id="{846B2894-04BD-481B-BB39-C0A9D462608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L7:L76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A18" sqref="A18"/>
    </sheetView>
  </sheetViews>
  <sheetFormatPr defaultRowHeight="15" x14ac:dyDescent="0.25"/>
  <sheetData/>
  <sheetProtection password="C64A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8"/>
  <sheetViews>
    <sheetView workbookViewId="0">
      <selection activeCell="E24" sqref="E24"/>
    </sheetView>
  </sheetViews>
  <sheetFormatPr defaultRowHeight="15" x14ac:dyDescent="0.25"/>
  <cols>
    <col min="1" max="1" width="18" bestFit="1" customWidth="1"/>
    <col min="2" max="2" width="12.7109375" bestFit="1" customWidth="1"/>
    <col min="5" max="5" width="11.28515625" customWidth="1"/>
    <col min="7" max="8" width="12.7109375" bestFit="1" customWidth="1"/>
  </cols>
  <sheetData>
    <row r="1" spans="1:9" x14ac:dyDescent="0.25">
      <c r="A1" t="s">
        <v>71</v>
      </c>
    </row>
    <row r="2" spans="1:9" ht="15.75" thickBot="1" x14ac:dyDescent="0.3"/>
    <row r="3" spans="1:9" x14ac:dyDescent="0.25">
      <c r="A3" s="35" t="s">
        <v>72</v>
      </c>
      <c r="B3" s="35"/>
    </row>
    <row r="4" spans="1:9" x14ac:dyDescent="0.25">
      <c r="A4" s="32" t="s">
        <v>73</v>
      </c>
      <c r="B4" s="32">
        <v>0.64537414400520632</v>
      </c>
    </row>
    <row r="5" spans="1:9" x14ac:dyDescent="0.25">
      <c r="A5" s="32" t="s">
        <v>74</v>
      </c>
      <c r="B5" s="32">
        <v>0.41650778575045277</v>
      </c>
    </row>
    <row r="6" spans="1:9" x14ac:dyDescent="0.25">
      <c r="A6" s="32" t="s">
        <v>75</v>
      </c>
      <c r="B6" s="32">
        <v>0.40661808720385029</v>
      </c>
    </row>
    <row r="7" spans="1:9" x14ac:dyDescent="0.25">
      <c r="A7" s="32" t="s">
        <v>76</v>
      </c>
      <c r="B7" s="32">
        <v>6949.2847276391867</v>
      </c>
    </row>
    <row r="8" spans="1:9" ht="15.75" thickBot="1" x14ac:dyDescent="0.3">
      <c r="A8" s="33" t="s">
        <v>77</v>
      </c>
      <c r="B8" s="33">
        <v>61</v>
      </c>
    </row>
    <row r="10" spans="1:9" ht="15.75" thickBot="1" x14ac:dyDescent="0.3">
      <c r="A10" t="s">
        <v>78</v>
      </c>
    </row>
    <row r="11" spans="1:9" x14ac:dyDescent="0.25">
      <c r="A11" s="34"/>
      <c r="B11" s="34" t="s">
        <v>83</v>
      </c>
      <c r="C11" s="34" t="s">
        <v>84</v>
      </c>
      <c r="D11" s="34" t="s">
        <v>85</v>
      </c>
      <c r="E11" s="34" t="s">
        <v>86</v>
      </c>
      <c r="F11" s="34" t="s">
        <v>87</v>
      </c>
    </row>
    <row r="12" spans="1:9" x14ac:dyDescent="0.25">
      <c r="A12" s="32" t="s">
        <v>79</v>
      </c>
      <c r="B12" s="32">
        <v>1</v>
      </c>
      <c r="C12" s="32">
        <v>2033856380.9674959</v>
      </c>
      <c r="D12" s="32">
        <v>2033856380.9674959</v>
      </c>
      <c r="E12" s="32">
        <v>42.115316638598628</v>
      </c>
      <c r="F12" s="32">
        <v>1.9652727664361716E-8</v>
      </c>
    </row>
    <row r="13" spans="1:9" x14ac:dyDescent="0.25">
      <c r="A13" s="32" t="s">
        <v>80</v>
      </c>
      <c r="B13" s="32">
        <v>59</v>
      </c>
      <c r="C13" s="32">
        <v>2849260935.322155</v>
      </c>
      <c r="D13" s="32">
        <v>48292558.22579924</v>
      </c>
      <c r="E13" s="32"/>
      <c r="F13" s="32"/>
    </row>
    <row r="14" spans="1:9" ht="15.75" thickBot="1" x14ac:dyDescent="0.3">
      <c r="A14" s="33" t="s">
        <v>81</v>
      </c>
      <c r="B14" s="33">
        <v>60</v>
      </c>
      <c r="C14" s="33">
        <v>4883117316.2896509</v>
      </c>
      <c r="D14" s="33"/>
      <c r="E14" s="33"/>
      <c r="F14" s="33"/>
    </row>
    <row r="15" spans="1:9" ht="15.75" thickBot="1" x14ac:dyDescent="0.3"/>
    <row r="16" spans="1:9" x14ac:dyDescent="0.25">
      <c r="A16" s="34"/>
      <c r="B16" s="34" t="s">
        <v>88</v>
      </c>
      <c r="C16" s="34" t="s">
        <v>76</v>
      </c>
      <c r="D16" s="34" t="s">
        <v>89</v>
      </c>
      <c r="E16" s="34" t="s">
        <v>90</v>
      </c>
      <c r="F16" s="34" t="s">
        <v>91</v>
      </c>
      <c r="G16" s="34" t="s">
        <v>92</v>
      </c>
      <c r="H16" s="34" t="s">
        <v>93</v>
      </c>
      <c r="I16" s="34" t="s">
        <v>94</v>
      </c>
    </row>
    <row r="17" spans="1:9" x14ac:dyDescent="0.25">
      <c r="A17" s="32" t="s">
        <v>82</v>
      </c>
      <c r="B17" s="32">
        <v>33758.104976710412</v>
      </c>
      <c r="C17" s="32">
        <v>3584.0528067580126</v>
      </c>
      <c r="D17" s="32">
        <v>9.4189753323547176</v>
      </c>
      <c r="E17" s="32">
        <v>2.305133257278948E-13</v>
      </c>
      <c r="F17" s="32">
        <v>26586.431875563343</v>
      </c>
      <c r="G17" s="32">
        <v>40929.778077857482</v>
      </c>
      <c r="H17" s="32">
        <v>26586.431875563343</v>
      </c>
      <c r="I17" s="32">
        <v>40929.778077857482</v>
      </c>
    </row>
    <row r="18" spans="1:9" ht="15.75" thickBot="1" x14ac:dyDescent="0.3">
      <c r="A18" s="33" t="s">
        <v>33</v>
      </c>
      <c r="B18" s="33">
        <v>-9441.7836906343091</v>
      </c>
      <c r="C18" s="33">
        <v>1454.9029065509594</v>
      </c>
      <c r="D18" s="33">
        <v>-6.4896314717092096</v>
      </c>
      <c r="E18" s="33">
        <v>1.965272766436157E-8</v>
      </c>
      <c r="F18" s="33">
        <v>-12353.037682209968</v>
      </c>
      <c r="G18" s="33">
        <v>-6530.5296990586503</v>
      </c>
      <c r="H18" s="33">
        <v>-12353.037682209968</v>
      </c>
      <c r="I18" s="33">
        <v>-6530.5296990586503</v>
      </c>
    </row>
  </sheetData>
  <sheetProtection password="C64A" sheet="1" objects="1" scenario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22"/>
  <sheetViews>
    <sheetView workbookViewId="0">
      <selection activeCell="A18" sqref="A18"/>
    </sheetView>
  </sheetViews>
  <sheetFormatPr defaultRowHeight="15" x14ac:dyDescent="0.25"/>
  <cols>
    <col min="1" max="1" width="18" bestFit="1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42578125" bestFit="1" customWidth="1"/>
    <col min="9" max="9" width="12.5703125" bestFit="1" customWidth="1"/>
  </cols>
  <sheetData>
    <row r="1" spans="1:9" x14ac:dyDescent="0.25">
      <c r="A1" t="s">
        <v>71</v>
      </c>
    </row>
    <row r="2" spans="1:9" ht="15.75" thickBot="1" x14ac:dyDescent="0.3"/>
    <row r="3" spans="1:9" x14ac:dyDescent="0.25">
      <c r="A3" s="35" t="s">
        <v>72</v>
      </c>
      <c r="B3" s="35"/>
    </row>
    <row r="4" spans="1:9" x14ac:dyDescent="0.25">
      <c r="A4" s="32" t="s">
        <v>73</v>
      </c>
      <c r="B4" s="32">
        <v>0.99166019742549205</v>
      </c>
    </row>
    <row r="5" spans="1:9" x14ac:dyDescent="0.25">
      <c r="A5" s="32" t="s">
        <v>74</v>
      </c>
      <c r="B5" s="32">
        <v>0.98338994715796579</v>
      </c>
    </row>
    <row r="6" spans="1:9" x14ac:dyDescent="0.25">
      <c r="A6" s="32" t="s">
        <v>75</v>
      </c>
      <c r="B6" s="32">
        <v>0.983113112943932</v>
      </c>
    </row>
    <row r="7" spans="1:9" x14ac:dyDescent="0.25">
      <c r="A7" s="32" t="s">
        <v>76</v>
      </c>
      <c r="B7" s="32">
        <v>0.74608884765023253</v>
      </c>
    </row>
    <row r="8" spans="1:9" ht="15.75" thickBot="1" x14ac:dyDescent="0.3">
      <c r="A8" s="33" t="s">
        <v>77</v>
      </c>
      <c r="B8" s="33">
        <v>62</v>
      </c>
    </row>
    <row r="10" spans="1:9" ht="15.75" thickBot="1" x14ac:dyDescent="0.3">
      <c r="A10" t="s">
        <v>78</v>
      </c>
    </row>
    <row r="11" spans="1:9" x14ac:dyDescent="0.25">
      <c r="A11" s="34"/>
      <c r="B11" s="34" t="s">
        <v>83</v>
      </c>
      <c r="C11" s="34" t="s">
        <v>84</v>
      </c>
      <c r="D11" s="34" t="s">
        <v>85</v>
      </c>
      <c r="E11" s="34" t="s">
        <v>86</v>
      </c>
      <c r="F11" s="34" t="s">
        <v>87</v>
      </c>
    </row>
    <row r="12" spans="1:9" x14ac:dyDescent="0.25">
      <c r="A12" s="32" t="s">
        <v>79</v>
      </c>
      <c r="B12" s="32">
        <v>1</v>
      </c>
      <c r="C12" s="32">
        <v>1977.3661588748589</v>
      </c>
      <c r="D12" s="32">
        <v>1977.3661588748589</v>
      </c>
      <c r="E12" s="32">
        <v>3552.2702661222684</v>
      </c>
      <c r="F12" s="32">
        <v>4.2238089211215579E-55</v>
      </c>
    </row>
    <row r="13" spans="1:9" x14ac:dyDescent="0.25">
      <c r="A13" s="32" t="s">
        <v>80</v>
      </c>
      <c r="B13" s="32">
        <v>60</v>
      </c>
      <c r="C13" s="32">
        <v>33.398914115283112</v>
      </c>
      <c r="D13" s="32">
        <v>0.5566485685880519</v>
      </c>
      <c r="E13" s="32"/>
      <c r="F13" s="32"/>
    </row>
    <row r="14" spans="1:9" ht="15.75" thickBot="1" x14ac:dyDescent="0.3">
      <c r="A14" s="33" t="s">
        <v>81</v>
      </c>
      <c r="B14" s="33">
        <v>61</v>
      </c>
      <c r="C14" s="33">
        <v>2010.765072990142</v>
      </c>
      <c r="D14" s="33"/>
      <c r="E14" s="33"/>
      <c r="F14" s="33"/>
    </row>
    <row r="15" spans="1:9" ht="15.75" thickBot="1" x14ac:dyDescent="0.3"/>
    <row r="16" spans="1:9" x14ac:dyDescent="0.25">
      <c r="A16" s="34"/>
      <c r="B16" s="34" t="s">
        <v>88</v>
      </c>
      <c r="C16" s="34" t="s">
        <v>76</v>
      </c>
      <c r="D16" s="34" t="s">
        <v>89</v>
      </c>
      <c r="E16" s="34" t="s">
        <v>90</v>
      </c>
      <c r="F16" s="34" t="s">
        <v>91</v>
      </c>
      <c r="G16" s="34" t="s">
        <v>92</v>
      </c>
      <c r="H16" s="34" t="s">
        <v>93</v>
      </c>
      <c r="I16" s="34" t="s">
        <v>94</v>
      </c>
    </row>
    <row r="17" spans="1:9" x14ac:dyDescent="0.25">
      <c r="A17" s="32" t="s">
        <v>82</v>
      </c>
      <c r="B17" s="32">
        <v>1.9675559870417949</v>
      </c>
      <c r="C17" s="32">
        <v>0.3845996447165117</v>
      </c>
      <c r="D17" s="32">
        <v>5.1158549262105533</v>
      </c>
      <c r="E17" s="32">
        <v>3.4558002623662819E-6</v>
      </c>
      <c r="F17" s="32">
        <v>1.1982421553678981</v>
      </c>
      <c r="G17" s="32">
        <v>2.7368698187156917</v>
      </c>
      <c r="H17" s="32">
        <v>1.1982421553678981</v>
      </c>
      <c r="I17" s="32">
        <v>2.7368698187156917</v>
      </c>
    </row>
    <row r="18" spans="1:9" ht="15.75" thickBot="1" x14ac:dyDescent="0.3">
      <c r="A18" s="33" t="s">
        <v>33</v>
      </c>
      <c r="B18" s="33">
        <v>9.3097378946447051</v>
      </c>
      <c r="C18" s="33">
        <v>0.15620123157053911</v>
      </c>
      <c r="D18" s="33">
        <v>59.600925044182567</v>
      </c>
      <c r="E18" s="33">
        <v>4.2238089211215579E-55</v>
      </c>
      <c r="F18" s="33">
        <v>8.9972889113382113</v>
      </c>
      <c r="G18" s="33">
        <v>9.622186877951199</v>
      </c>
      <c r="H18" s="33">
        <v>8.9972889113382113</v>
      </c>
      <c r="I18" s="33">
        <v>9.622186877951199</v>
      </c>
    </row>
    <row r="20" spans="1:9" x14ac:dyDescent="0.25">
      <c r="F20">
        <v>1.5</v>
      </c>
    </row>
    <row r="22" spans="1:9" x14ac:dyDescent="0.25">
      <c r="C22">
        <f>B17+B18*(F20)</f>
        <v>15.932162829008853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18"/>
  <sheetViews>
    <sheetView workbookViewId="0">
      <selection activeCell="A18" sqref="A18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7" width="12" bestFit="1" customWidth="1"/>
    <col min="8" max="8" width="12.7109375" bestFit="1" customWidth="1"/>
    <col min="9" max="9" width="12.5703125" bestFit="1" customWidth="1"/>
  </cols>
  <sheetData>
    <row r="1" spans="1:9" x14ac:dyDescent="0.25">
      <c r="A1" t="s">
        <v>71</v>
      </c>
    </row>
    <row r="2" spans="1:9" ht="15.75" thickBot="1" x14ac:dyDescent="0.3"/>
    <row r="3" spans="1:9" x14ac:dyDescent="0.25">
      <c r="A3" s="35" t="s">
        <v>72</v>
      </c>
      <c r="B3" s="35"/>
    </row>
    <row r="4" spans="1:9" x14ac:dyDescent="0.25">
      <c r="A4" s="32" t="s">
        <v>73</v>
      </c>
      <c r="B4" s="32">
        <v>0.15751617780571872</v>
      </c>
    </row>
    <row r="5" spans="1:9" x14ac:dyDescent="0.25">
      <c r="A5" s="32" t="s">
        <v>74</v>
      </c>
      <c r="B5" s="32">
        <v>2.4811346270522797E-2</v>
      </c>
    </row>
    <row r="6" spans="1:9" x14ac:dyDescent="0.25">
      <c r="A6" s="32" t="s">
        <v>75</v>
      </c>
      <c r="B6" s="32">
        <v>8.5582020416981788E-3</v>
      </c>
    </row>
    <row r="7" spans="1:9" x14ac:dyDescent="0.25">
      <c r="A7" s="32" t="s">
        <v>76</v>
      </c>
      <c r="B7" s="32">
        <v>4048.4265969497769</v>
      </c>
    </row>
    <row r="8" spans="1:9" ht="15.75" thickBot="1" x14ac:dyDescent="0.3">
      <c r="A8" s="33" t="s">
        <v>77</v>
      </c>
      <c r="B8" s="33">
        <v>62</v>
      </c>
    </row>
    <row r="10" spans="1:9" ht="15.75" thickBot="1" x14ac:dyDescent="0.3">
      <c r="A10" t="s">
        <v>78</v>
      </c>
    </row>
    <row r="11" spans="1:9" x14ac:dyDescent="0.25">
      <c r="A11" s="34"/>
      <c r="B11" s="34" t="s">
        <v>83</v>
      </c>
      <c r="C11" s="34" t="s">
        <v>84</v>
      </c>
      <c r="D11" s="34" t="s">
        <v>85</v>
      </c>
      <c r="E11" s="34" t="s">
        <v>86</v>
      </c>
      <c r="F11" s="34" t="s">
        <v>87</v>
      </c>
    </row>
    <row r="12" spans="1:9" x14ac:dyDescent="0.25">
      <c r="A12" s="32" t="s">
        <v>79</v>
      </c>
      <c r="B12" s="32">
        <v>1</v>
      </c>
      <c r="C12" s="32">
        <v>25019894.802628517</v>
      </c>
      <c r="D12" s="32">
        <v>25019894.802628517</v>
      </c>
      <c r="E12" s="32">
        <v>1.5265567031959502</v>
      </c>
      <c r="F12" s="32">
        <v>0.22144584602973846</v>
      </c>
    </row>
    <row r="13" spans="1:9" x14ac:dyDescent="0.25">
      <c r="A13" s="32" t="s">
        <v>80</v>
      </c>
      <c r="B13" s="32">
        <v>60</v>
      </c>
      <c r="C13" s="32">
        <v>983385474.65342104</v>
      </c>
      <c r="D13" s="32">
        <v>16389757.91089035</v>
      </c>
      <c r="E13" s="32"/>
      <c r="F13" s="32"/>
    </row>
    <row r="14" spans="1:9" ht="15.75" thickBot="1" x14ac:dyDescent="0.3">
      <c r="A14" s="33" t="s">
        <v>81</v>
      </c>
      <c r="B14" s="33">
        <v>61</v>
      </c>
      <c r="C14" s="33">
        <v>1008405369.4560496</v>
      </c>
      <c r="D14" s="33"/>
      <c r="E14" s="33"/>
      <c r="F14" s="33"/>
    </row>
    <row r="15" spans="1:9" ht="15.75" thickBot="1" x14ac:dyDescent="0.3"/>
    <row r="16" spans="1:9" x14ac:dyDescent="0.25">
      <c r="A16" s="34"/>
      <c r="B16" s="34" t="s">
        <v>88</v>
      </c>
      <c r="C16" s="34" t="s">
        <v>76</v>
      </c>
      <c r="D16" s="34" t="s">
        <v>89</v>
      </c>
      <c r="E16" s="34" t="s">
        <v>90</v>
      </c>
      <c r="F16" s="34" t="s">
        <v>91</v>
      </c>
      <c r="G16" s="34" t="s">
        <v>92</v>
      </c>
      <c r="H16" s="34" t="s">
        <v>93</v>
      </c>
      <c r="I16" s="34" t="s">
        <v>94</v>
      </c>
    </row>
    <row r="17" spans="1:9" x14ac:dyDescent="0.25">
      <c r="A17" s="32" t="s">
        <v>82</v>
      </c>
      <c r="B17" s="32">
        <v>-8679.2072729405754</v>
      </c>
      <c r="C17" s="32">
        <v>2086.9142271078349</v>
      </c>
      <c r="D17" s="32">
        <v>-4.1588711027039755</v>
      </c>
      <c r="E17" s="32">
        <v>1.0334599002475496E-4</v>
      </c>
      <c r="F17" s="32">
        <v>-12853.657256154951</v>
      </c>
      <c r="G17" s="32">
        <v>-4504.7572897261989</v>
      </c>
      <c r="H17" s="32">
        <v>-12853.657256154951</v>
      </c>
      <c r="I17" s="32">
        <v>-4504.7572897261989</v>
      </c>
    </row>
    <row r="18" spans="1:9" ht="15.75" thickBot="1" x14ac:dyDescent="0.3">
      <c r="A18" s="33" t="s">
        <v>33</v>
      </c>
      <c r="B18" s="33">
        <v>1047.2169069143797</v>
      </c>
      <c r="C18" s="33">
        <v>847.57897448553899</v>
      </c>
      <c r="D18" s="33">
        <v>1.2355390334570491</v>
      </c>
      <c r="E18" s="33">
        <v>0.22144584602973422</v>
      </c>
      <c r="F18" s="33">
        <v>-648.19346973412462</v>
      </c>
      <c r="G18" s="33">
        <v>2742.6272835628843</v>
      </c>
      <c r="H18" s="33">
        <v>-648.19346973412462</v>
      </c>
      <c r="I18" s="33">
        <v>2742.6272835628843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C3:K7"/>
  <sheetViews>
    <sheetView workbookViewId="0">
      <selection activeCell="A18" sqref="A18"/>
    </sheetView>
  </sheetViews>
  <sheetFormatPr defaultRowHeight="15" x14ac:dyDescent="0.25"/>
  <sheetData>
    <row r="3" spans="3:11" ht="100.9" x14ac:dyDescent="0.3">
      <c r="C3" s="22" t="s">
        <v>35</v>
      </c>
      <c r="D3" s="23" t="s">
        <v>36</v>
      </c>
      <c r="E3" s="23" t="s">
        <v>37</v>
      </c>
      <c r="F3" s="23" t="s">
        <v>38</v>
      </c>
      <c r="G3" s="23">
        <v>15</v>
      </c>
      <c r="H3" s="23" t="s">
        <v>39</v>
      </c>
      <c r="I3" s="24">
        <v>3600080</v>
      </c>
      <c r="J3" s="25">
        <v>2.29</v>
      </c>
      <c r="K3" s="26">
        <v>8070</v>
      </c>
    </row>
    <row r="4" spans="3:11" ht="100.9" x14ac:dyDescent="0.3">
      <c r="C4" s="22" t="s">
        <v>40</v>
      </c>
      <c r="D4" s="23" t="s">
        <v>41</v>
      </c>
      <c r="E4" s="23" t="s">
        <v>37</v>
      </c>
      <c r="F4" s="23" t="s">
        <v>42</v>
      </c>
      <c r="G4" s="23">
        <v>20</v>
      </c>
      <c r="H4" s="23" t="s">
        <v>43</v>
      </c>
      <c r="I4" s="24">
        <v>3600081</v>
      </c>
      <c r="J4" s="25">
        <v>2.17</v>
      </c>
      <c r="K4" s="26">
        <v>10210</v>
      </c>
    </row>
    <row r="5" spans="3:11" ht="100.9" x14ac:dyDescent="0.3">
      <c r="C5" s="22" t="s">
        <v>44</v>
      </c>
      <c r="D5" s="23" t="s">
        <v>45</v>
      </c>
      <c r="E5" s="23" t="s">
        <v>37</v>
      </c>
      <c r="F5" s="23" t="s">
        <v>46</v>
      </c>
      <c r="G5" s="23">
        <v>24</v>
      </c>
      <c r="H5" s="23" t="s">
        <v>47</v>
      </c>
      <c r="I5" s="24">
        <v>3600133</v>
      </c>
      <c r="J5" s="25">
        <v>2.12</v>
      </c>
      <c r="K5" s="26">
        <v>11975</v>
      </c>
    </row>
    <row r="6" spans="3:11" ht="100.9" x14ac:dyDescent="0.3">
      <c r="C6" s="22" t="s">
        <v>48</v>
      </c>
      <c r="D6" s="23" t="s">
        <v>49</v>
      </c>
      <c r="E6" s="23" t="s">
        <v>37</v>
      </c>
      <c r="F6" s="23" t="s">
        <v>50</v>
      </c>
      <c r="G6" s="23">
        <v>40</v>
      </c>
      <c r="H6" s="23" t="s">
        <v>51</v>
      </c>
      <c r="I6" s="24">
        <v>3610022</v>
      </c>
      <c r="J6" s="25">
        <v>2.17</v>
      </c>
      <c r="K6" s="26">
        <v>20420</v>
      </c>
    </row>
    <row r="7" spans="3:11" ht="120" x14ac:dyDescent="0.25">
      <c r="C7" s="22" t="s">
        <v>52</v>
      </c>
      <c r="D7" s="23" t="s">
        <v>53</v>
      </c>
      <c r="E7" s="23" t="s">
        <v>37</v>
      </c>
      <c r="F7" s="23" t="s">
        <v>54</v>
      </c>
      <c r="G7" s="23">
        <v>50</v>
      </c>
      <c r="H7" s="23" t="s">
        <v>55</v>
      </c>
      <c r="I7" s="24">
        <v>3600023</v>
      </c>
      <c r="J7" s="25">
        <v>2.11</v>
      </c>
      <c r="K7" s="26">
        <v>24820</v>
      </c>
    </row>
  </sheetData>
  <hyperlinks>
    <hyperlink ref="C3" r:id="rId1" display="http://www.wholesalesolar.com/system/solaredge-15-astronergy-panel-gridtie-system.html"/>
    <hyperlink ref="C4" r:id="rId2" display="http://www.wholesalesolar.com/system/solaredge-20-astronergy-panel-gridtie-system.html"/>
    <hyperlink ref="C5" r:id="rId3" display="http://www.wholesalesolar.com/system/solaredge-30-astronergy-panel-gridtie-system.html"/>
    <hyperlink ref="C6" r:id="rId4" display="http://www.wholesalesolar.com/system/solaredge-40-astronergy-panel-gridtie-system.html"/>
    <hyperlink ref="C7" r:id="rId5" display="http://www.wholesalesolar.com/system/solaredge-50-astronergy-panel-gridtie-system.html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D3:I18"/>
  <sheetViews>
    <sheetView workbookViewId="0">
      <selection activeCell="A18" sqref="A18"/>
    </sheetView>
  </sheetViews>
  <sheetFormatPr defaultRowHeight="15" x14ac:dyDescent="0.25"/>
  <cols>
    <col min="4" max="4" width="16.85546875" bestFit="1" customWidth="1"/>
    <col min="5" max="5" width="12.5703125" bestFit="1" customWidth="1"/>
    <col min="6" max="6" width="12.140625" bestFit="1" customWidth="1"/>
    <col min="7" max="7" width="19" bestFit="1" customWidth="1"/>
    <col min="8" max="8" width="3" customWidth="1"/>
    <col min="9" max="9" width="11.85546875" bestFit="1" customWidth="1"/>
  </cols>
  <sheetData>
    <row r="3" spans="4:9" x14ac:dyDescent="0.25">
      <c r="D3" t="s">
        <v>61</v>
      </c>
      <c r="E3" s="6">
        <v>48000</v>
      </c>
      <c r="G3" t="s">
        <v>68</v>
      </c>
      <c r="I3" s="3">
        <f>FV(0.04,10,0,-48000)</f>
        <v>71051.725676080547</v>
      </c>
    </row>
    <row r="4" spans="4:9" x14ac:dyDescent="0.25">
      <c r="D4" t="s">
        <v>62</v>
      </c>
      <c r="E4" s="6">
        <v>2800</v>
      </c>
    </row>
    <row r="5" spans="4:9" x14ac:dyDescent="0.25">
      <c r="D5" t="s">
        <v>63</v>
      </c>
      <c r="E5">
        <v>10</v>
      </c>
    </row>
    <row r="6" spans="4:9" x14ac:dyDescent="0.25">
      <c r="D6" t="s">
        <v>64</v>
      </c>
      <c r="E6" s="6">
        <f>E4*E5</f>
        <v>28000</v>
      </c>
    </row>
    <row r="7" spans="4:9" x14ac:dyDescent="0.25">
      <c r="D7" t="s">
        <v>65</v>
      </c>
      <c r="E7" s="6">
        <f>E6+E3</f>
        <v>76000</v>
      </c>
      <c r="F7" s="31">
        <f>((E7-E3)/E3)/E5</f>
        <v>5.8333333333333334E-2</v>
      </c>
    </row>
    <row r="8" spans="4:9" x14ac:dyDescent="0.25">
      <c r="D8" t="s">
        <v>66</v>
      </c>
      <c r="E8" s="6">
        <f>E5*1000</f>
        <v>10000</v>
      </c>
    </row>
    <row r="9" spans="4:9" x14ac:dyDescent="0.25">
      <c r="D9" t="s">
        <v>67</v>
      </c>
      <c r="E9" s="11">
        <f>E7-E8</f>
        <v>66000</v>
      </c>
      <c r="F9" s="31">
        <f>(((E9-((E3+E8)))/(E3+E8)))/E5</f>
        <v>1.3793103448275862E-2</v>
      </c>
    </row>
    <row r="12" spans="4:9" x14ac:dyDescent="0.25">
      <c r="D12" t="s">
        <v>61</v>
      </c>
      <c r="E12" s="6">
        <v>48000</v>
      </c>
      <c r="G12" t="s">
        <v>69</v>
      </c>
      <c r="I12" s="3">
        <f>FV(0.04,20,0,-48000)</f>
        <v>105173.91086560422</v>
      </c>
    </row>
    <row r="13" spans="4:9" x14ac:dyDescent="0.25">
      <c r="D13" t="s">
        <v>62</v>
      </c>
      <c r="E13" s="6">
        <v>5000</v>
      </c>
      <c r="F13" s="7">
        <f>E13/E12</f>
        <v>0.10416666666666667</v>
      </c>
      <c r="G13" t="s">
        <v>70</v>
      </c>
    </row>
    <row r="14" spans="4:9" x14ac:dyDescent="0.25">
      <c r="D14" t="s">
        <v>63</v>
      </c>
      <c r="E14">
        <v>20</v>
      </c>
    </row>
    <row r="15" spans="4:9" x14ac:dyDescent="0.25">
      <c r="D15" t="s">
        <v>64</v>
      </c>
      <c r="E15" s="6">
        <f>E13*E14</f>
        <v>100000</v>
      </c>
    </row>
    <row r="16" spans="4:9" x14ac:dyDescent="0.25">
      <c r="D16" t="s">
        <v>65</v>
      </c>
      <c r="E16" s="6">
        <f>E15+E12</f>
        <v>148000</v>
      </c>
      <c r="F16" s="31">
        <f>((E16-E12)/E12)/E14</f>
        <v>0.10416666666666667</v>
      </c>
    </row>
    <row r="17" spans="4:6" x14ac:dyDescent="0.25">
      <c r="D17" t="s">
        <v>66</v>
      </c>
      <c r="E17" s="6">
        <f>E14*1000</f>
        <v>20000</v>
      </c>
    </row>
    <row r="18" spans="4:6" x14ac:dyDescent="0.25">
      <c r="D18" t="s">
        <v>67</v>
      </c>
      <c r="E18" s="11">
        <f>E16-E17</f>
        <v>128000</v>
      </c>
      <c r="F18" s="31">
        <f>(((E18-((E12+E17)))/(E12+E17)))/E14</f>
        <v>4.4117647058823525E-2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38"/>
  <sheetViews>
    <sheetView workbookViewId="0">
      <selection activeCell="A18" sqref="A18"/>
    </sheetView>
  </sheetViews>
  <sheetFormatPr defaultColWidth="17.85546875"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9" width="12.7109375" bestFit="1" customWidth="1"/>
  </cols>
  <sheetData>
    <row r="1" spans="1:9" x14ac:dyDescent="0.25">
      <c r="A1" t="s">
        <v>71</v>
      </c>
    </row>
    <row r="2" spans="1:9" ht="15.75" thickBot="1" x14ac:dyDescent="0.3"/>
    <row r="3" spans="1:9" x14ac:dyDescent="0.25">
      <c r="A3" s="35" t="s">
        <v>72</v>
      </c>
      <c r="B3" s="35"/>
    </row>
    <row r="4" spans="1:9" x14ac:dyDescent="0.25">
      <c r="A4" s="32" t="s">
        <v>73</v>
      </c>
      <c r="B4" s="32">
        <v>0.84413857912742329</v>
      </c>
    </row>
    <row r="5" spans="1:9" x14ac:dyDescent="0.25">
      <c r="A5" s="32" t="s">
        <v>74</v>
      </c>
      <c r="B5" s="32">
        <v>0.71256994077126501</v>
      </c>
      <c r="H5" t="s">
        <v>99</v>
      </c>
    </row>
    <row r="6" spans="1:9" x14ac:dyDescent="0.25">
      <c r="A6" s="32" t="s">
        <v>75</v>
      </c>
      <c r="B6" s="32">
        <v>0.70769824485213384</v>
      </c>
    </row>
    <row r="7" spans="1:9" x14ac:dyDescent="0.25">
      <c r="A7" s="32" t="s">
        <v>76</v>
      </c>
      <c r="B7" s="32">
        <v>0.33338509612236528</v>
      </c>
    </row>
    <row r="8" spans="1:9" ht="15.75" thickBot="1" x14ac:dyDescent="0.3">
      <c r="A8" s="33" t="s">
        <v>77</v>
      </c>
      <c r="B8" s="33">
        <v>61</v>
      </c>
    </row>
    <row r="10" spans="1:9" ht="15.75" thickBot="1" x14ac:dyDescent="0.3">
      <c r="A10" t="s">
        <v>78</v>
      </c>
    </row>
    <row r="11" spans="1:9" x14ac:dyDescent="0.25">
      <c r="A11" s="34"/>
      <c r="B11" s="34" t="s">
        <v>83</v>
      </c>
      <c r="C11" s="34" t="s">
        <v>84</v>
      </c>
      <c r="D11" s="34" t="s">
        <v>85</v>
      </c>
      <c r="E11" s="34" t="s">
        <v>86</v>
      </c>
      <c r="F11" s="34" t="s">
        <v>87</v>
      </c>
    </row>
    <row r="12" spans="1:9" x14ac:dyDescent="0.25">
      <c r="A12" s="32" t="s">
        <v>79</v>
      </c>
      <c r="B12" s="32">
        <v>1</v>
      </c>
      <c r="C12" s="32">
        <v>16.256973100487112</v>
      </c>
      <c r="D12" s="32">
        <v>16.256973100487112</v>
      </c>
      <c r="E12" s="32">
        <v>146.26732714843919</v>
      </c>
      <c r="F12" s="32">
        <v>1.2945895746691357E-17</v>
      </c>
    </row>
    <row r="13" spans="1:9" x14ac:dyDescent="0.25">
      <c r="A13" s="32" t="s">
        <v>80</v>
      </c>
      <c r="B13" s="32">
        <v>59</v>
      </c>
      <c r="C13" s="32">
        <v>6.5575917166746054</v>
      </c>
      <c r="D13" s="32">
        <v>0.11114562231651874</v>
      </c>
      <c r="E13" s="32"/>
      <c r="F13" s="32"/>
    </row>
    <row r="14" spans="1:9" ht="15.75" thickBot="1" x14ac:dyDescent="0.3">
      <c r="A14" s="33" t="s">
        <v>81</v>
      </c>
      <c r="B14" s="33">
        <v>60</v>
      </c>
      <c r="C14" s="33">
        <v>22.814564817161717</v>
      </c>
      <c r="D14" s="33"/>
      <c r="E14" s="33"/>
      <c r="F14" s="33"/>
    </row>
    <row r="15" spans="1:9" ht="15.75" thickBot="1" x14ac:dyDescent="0.3"/>
    <row r="16" spans="1:9" x14ac:dyDescent="0.25">
      <c r="A16" s="34"/>
      <c r="B16" s="34" t="s">
        <v>88</v>
      </c>
      <c r="C16" s="34" t="s">
        <v>76</v>
      </c>
      <c r="D16" s="34" t="s">
        <v>89</v>
      </c>
      <c r="E16" s="34" t="s">
        <v>90</v>
      </c>
      <c r="F16" s="34" t="s">
        <v>91</v>
      </c>
      <c r="G16" s="34" t="s">
        <v>92</v>
      </c>
      <c r="H16" s="34" t="s">
        <v>93</v>
      </c>
      <c r="I16" s="34" t="s">
        <v>94</v>
      </c>
    </row>
    <row r="17" spans="1:9" x14ac:dyDescent="0.25">
      <c r="A17" s="32" t="s">
        <v>82</v>
      </c>
      <c r="B17" s="32">
        <v>6.4288238471142733E-2</v>
      </c>
      <c r="C17" s="32">
        <v>0.19668412879663921</v>
      </c>
      <c r="D17" s="32">
        <v>0.32686032606938664</v>
      </c>
      <c r="E17" s="32">
        <v>0.74493032142611693</v>
      </c>
      <c r="F17" s="32">
        <v>-0.32927579419425013</v>
      </c>
      <c r="G17" s="32">
        <v>0.45785227113653559</v>
      </c>
      <c r="H17" s="32">
        <v>-0.32927579419425013</v>
      </c>
      <c r="I17" s="32">
        <v>0.45785227113653559</v>
      </c>
    </row>
    <row r="18" spans="1:9" ht="15.75" thickBot="1" x14ac:dyDescent="0.3">
      <c r="A18" s="33" t="s">
        <v>97</v>
      </c>
      <c r="B18" s="33">
        <v>-4.7526442341109227</v>
      </c>
      <c r="C18" s="33">
        <v>0.39297203255052293</v>
      </c>
      <c r="D18" s="33">
        <v>-12.094102990649578</v>
      </c>
      <c r="E18" s="33">
        <v>1.294589574669154E-17</v>
      </c>
      <c r="F18" s="33">
        <v>-5.5389794549624716</v>
      </c>
      <c r="G18" s="33">
        <v>-3.9663090132593739</v>
      </c>
      <c r="H18" s="33">
        <v>-5.5389794549624716</v>
      </c>
      <c r="I18" s="33">
        <v>-3.9663090132593739</v>
      </c>
    </row>
    <row r="21" spans="1:9" x14ac:dyDescent="0.25">
      <c r="A21" t="s">
        <v>71</v>
      </c>
    </row>
    <row r="22" spans="1:9" ht="15.75" thickBot="1" x14ac:dyDescent="0.3"/>
    <row r="23" spans="1:9" x14ac:dyDescent="0.25">
      <c r="A23" s="35" t="s">
        <v>72</v>
      </c>
      <c r="B23" s="35"/>
    </row>
    <row r="24" spans="1:9" x14ac:dyDescent="0.25">
      <c r="A24" s="32" t="s">
        <v>73</v>
      </c>
      <c r="B24" s="32">
        <v>0.84413857912742329</v>
      </c>
    </row>
    <row r="25" spans="1:9" x14ac:dyDescent="0.25">
      <c r="A25" s="32" t="s">
        <v>74</v>
      </c>
      <c r="B25" s="32">
        <v>0.71256994077126501</v>
      </c>
    </row>
    <row r="26" spans="1:9" x14ac:dyDescent="0.25">
      <c r="A26" s="32" t="s">
        <v>75</v>
      </c>
      <c r="B26" s="32">
        <v>0.70769824485213384</v>
      </c>
    </row>
    <row r="27" spans="1:9" x14ac:dyDescent="0.25">
      <c r="A27" s="32" t="s">
        <v>76</v>
      </c>
      <c r="B27" s="32">
        <v>5.9214030649116872E-2</v>
      </c>
      <c r="I27" t="s">
        <v>98</v>
      </c>
    </row>
    <row r="28" spans="1:9" ht="15.75" thickBot="1" x14ac:dyDescent="0.3">
      <c r="A28" s="33" t="s">
        <v>77</v>
      </c>
      <c r="B28" s="33">
        <v>61</v>
      </c>
    </row>
    <row r="30" spans="1:9" ht="15.75" thickBot="1" x14ac:dyDescent="0.3">
      <c r="A30" t="s">
        <v>78</v>
      </c>
    </row>
    <row r="31" spans="1:9" x14ac:dyDescent="0.25">
      <c r="A31" s="34"/>
      <c r="B31" s="34" t="s">
        <v>83</v>
      </c>
      <c r="C31" s="34" t="s">
        <v>84</v>
      </c>
      <c r="D31" s="34" t="s">
        <v>85</v>
      </c>
      <c r="E31" s="34" t="s">
        <v>86</v>
      </c>
      <c r="F31" s="34" t="s">
        <v>87</v>
      </c>
    </row>
    <row r="32" spans="1:9" x14ac:dyDescent="0.25">
      <c r="A32" s="32" t="s">
        <v>79</v>
      </c>
      <c r="B32" s="32">
        <v>1</v>
      </c>
      <c r="C32" s="32">
        <v>0.51285733771602926</v>
      </c>
      <c r="D32" s="32">
        <v>0.51285733771602926</v>
      </c>
      <c r="E32" s="32">
        <v>146.26732714843922</v>
      </c>
      <c r="F32" s="32">
        <v>1.2945895746691263E-17</v>
      </c>
    </row>
    <row r="33" spans="1:9" x14ac:dyDescent="0.25">
      <c r="A33" s="32" t="s">
        <v>80</v>
      </c>
      <c r="B33" s="32">
        <v>59</v>
      </c>
      <c r="C33" s="32">
        <v>0.20687178411715856</v>
      </c>
      <c r="D33" s="32">
        <v>3.506301425714552E-3</v>
      </c>
      <c r="E33" s="32"/>
      <c r="F33" s="32"/>
    </row>
    <row r="34" spans="1:9" ht="15.75" thickBot="1" x14ac:dyDescent="0.3">
      <c r="A34" s="33" t="s">
        <v>81</v>
      </c>
      <c r="B34" s="33">
        <v>60</v>
      </c>
      <c r="C34" s="33">
        <v>0.71972912183318782</v>
      </c>
      <c r="D34" s="33"/>
      <c r="E34" s="33"/>
      <c r="F34" s="33"/>
    </row>
    <row r="35" spans="1:9" ht="15.75" thickBot="1" x14ac:dyDescent="0.3"/>
    <row r="36" spans="1:9" x14ac:dyDescent="0.25">
      <c r="A36" s="34"/>
      <c r="B36" s="34" t="s">
        <v>88</v>
      </c>
      <c r="C36" s="34" t="s">
        <v>76</v>
      </c>
      <c r="D36" s="34" t="s">
        <v>89</v>
      </c>
      <c r="E36" s="34" t="s">
        <v>90</v>
      </c>
      <c r="F36" s="34" t="s">
        <v>91</v>
      </c>
      <c r="G36" s="34" t="s">
        <v>92</v>
      </c>
      <c r="H36" s="34" t="s">
        <v>93</v>
      </c>
      <c r="I36" s="34" t="s">
        <v>94</v>
      </c>
    </row>
    <row r="37" spans="1:9" x14ac:dyDescent="0.25">
      <c r="A37" s="32" t="s">
        <v>82</v>
      </c>
      <c r="B37" s="32">
        <v>-0.1307923317505772</v>
      </c>
      <c r="C37" s="32">
        <v>3.0539288727563747E-2</v>
      </c>
      <c r="D37" s="32">
        <v>-4.282756318176081</v>
      </c>
      <c r="E37" s="32">
        <v>6.8945781761694318E-5</v>
      </c>
      <c r="F37" s="32">
        <v>-0.19190130734453542</v>
      </c>
      <c r="G37" s="32">
        <v>-6.968335615661897E-2</v>
      </c>
      <c r="H37" s="32">
        <v>-0.19190130734453542</v>
      </c>
      <c r="I37" s="32">
        <v>-6.968335615661897E-2</v>
      </c>
    </row>
    <row r="38" spans="1:9" ht="15.75" thickBot="1" x14ac:dyDescent="0.3">
      <c r="A38" s="33" t="s">
        <v>33</v>
      </c>
      <c r="B38" s="33">
        <v>-0.14993126050903852</v>
      </c>
      <c r="C38" s="33">
        <v>1.2397055046162264E-2</v>
      </c>
      <c r="D38" s="33">
        <v>-12.094102990649581</v>
      </c>
      <c r="E38" s="33">
        <v>1.294589574669145E-17</v>
      </c>
      <c r="F38" s="33">
        <v>-0.17473771035831506</v>
      </c>
      <c r="G38" s="33">
        <v>-0.12512481065976197</v>
      </c>
      <c r="H38" s="33">
        <v>-0.17473771035831506</v>
      </c>
      <c r="I38" s="33">
        <v>-0.12512481065976197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J5:O30"/>
  <sheetViews>
    <sheetView workbookViewId="0">
      <selection activeCell="A18" sqref="A18"/>
    </sheetView>
  </sheetViews>
  <sheetFormatPr defaultRowHeight="15" x14ac:dyDescent="0.25"/>
  <sheetData>
    <row r="5" spans="14:14" x14ac:dyDescent="0.25">
      <c r="N5">
        <v>100</v>
      </c>
    </row>
    <row r="6" spans="14:14" x14ac:dyDescent="0.25">
      <c r="N6">
        <v>97</v>
      </c>
    </row>
    <row r="7" spans="14:14" x14ac:dyDescent="0.25">
      <c r="N7">
        <v>96.3</v>
      </c>
    </row>
    <row r="8" spans="14:14" x14ac:dyDescent="0.25">
      <c r="N8">
        <v>95.6</v>
      </c>
    </row>
    <row r="9" spans="14:14" x14ac:dyDescent="0.25">
      <c r="N9">
        <v>94.9</v>
      </c>
    </row>
    <row r="10" spans="14:14" x14ac:dyDescent="0.25">
      <c r="N10">
        <v>94.2</v>
      </c>
    </row>
    <row r="11" spans="14:14" x14ac:dyDescent="0.25">
      <c r="N11">
        <v>93.5</v>
      </c>
    </row>
    <row r="12" spans="14:14" x14ac:dyDescent="0.25">
      <c r="N12">
        <v>92.8</v>
      </c>
    </row>
    <row r="13" spans="14:14" x14ac:dyDescent="0.25">
      <c r="N13">
        <v>92.1</v>
      </c>
    </row>
    <row r="14" spans="14:14" x14ac:dyDescent="0.25">
      <c r="N14">
        <v>91.4</v>
      </c>
    </row>
    <row r="15" spans="14:14" x14ac:dyDescent="0.25">
      <c r="N15">
        <v>90.7</v>
      </c>
    </row>
    <row r="16" spans="14:14" x14ac:dyDescent="0.25">
      <c r="N16">
        <v>90</v>
      </c>
    </row>
    <row r="17" spans="10:15" x14ac:dyDescent="0.25">
      <c r="N17">
        <v>89.3</v>
      </c>
    </row>
    <row r="18" spans="10:15" x14ac:dyDescent="0.25">
      <c r="N18">
        <v>88.6</v>
      </c>
    </row>
    <row r="19" spans="10:15" x14ac:dyDescent="0.25">
      <c r="N19">
        <v>87.9</v>
      </c>
    </row>
    <row r="20" spans="10:15" x14ac:dyDescent="0.25">
      <c r="N20">
        <v>87.2</v>
      </c>
    </row>
    <row r="21" spans="10:15" x14ac:dyDescent="0.25">
      <c r="N21">
        <v>86.5</v>
      </c>
    </row>
    <row r="22" spans="10:15" x14ac:dyDescent="0.25">
      <c r="N22">
        <v>85.8</v>
      </c>
    </row>
    <row r="23" spans="10:15" x14ac:dyDescent="0.25">
      <c r="N23">
        <v>85.1</v>
      </c>
    </row>
    <row r="24" spans="10:15" x14ac:dyDescent="0.25">
      <c r="N24">
        <v>84.399999999999906</v>
      </c>
    </row>
    <row r="25" spans="10:15" x14ac:dyDescent="0.25">
      <c r="N25">
        <v>83.699999999999903</v>
      </c>
    </row>
    <row r="26" spans="10:15" x14ac:dyDescent="0.25">
      <c r="N26">
        <v>82.999999999999901</v>
      </c>
    </row>
    <row r="27" spans="10:15" x14ac:dyDescent="0.25">
      <c r="N27">
        <v>82.299999999999898</v>
      </c>
    </row>
    <row r="28" spans="10:15" x14ac:dyDescent="0.25">
      <c r="N28">
        <v>81.599999999999895</v>
      </c>
    </row>
    <row r="29" spans="10:15" x14ac:dyDescent="0.25">
      <c r="N29">
        <v>80.899999999999906</v>
      </c>
    </row>
    <row r="30" spans="10:15" x14ac:dyDescent="0.25">
      <c r="J30" t="s">
        <v>102</v>
      </c>
      <c r="N30" s="38">
        <f>AVERAGE(N5:N29)</f>
        <v>89.391999999999967</v>
      </c>
      <c r="O30">
        <f>N30-100</f>
        <v>-10.608000000000033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7"/>
  <sheetViews>
    <sheetView workbookViewId="0">
      <selection activeCell="A18" sqref="A18"/>
    </sheetView>
  </sheetViews>
  <sheetFormatPr defaultRowHeight="15" x14ac:dyDescent="0.25"/>
  <sheetData>
    <row r="1" spans="1:9" ht="15" customHeight="1" x14ac:dyDescent="0.25">
      <c r="A1" t="s">
        <v>103</v>
      </c>
      <c r="E1" s="58" t="s">
        <v>32</v>
      </c>
      <c r="F1" s="58"/>
      <c r="G1" s="58"/>
      <c r="H1" s="58"/>
      <c r="I1" s="58"/>
    </row>
    <row r="2" spans="1:9" x14ac:dyDescent="0.25">
      <c r="E2" s="58"/>
      <c r="F2" s="58"/>
      <c r="G2" s="58"/>
      <c r="H2" s="58"/>
      <c r="I2" s="58"/>
    </row>
    <row r="7" spans="1:9" x14ac:dyDescent="0.25">
      <c r="C7" s="42" t="s">
        <v>110</v>
      </c>
    </row>
  </sheetData>
  <mergeCells count="1">
    <mergeCell ref="E1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51"/>
  <sheetViews>
    <sheetView topLeftCell="A16" workbookViewId="0">
      <selection activeCell="A18" sqref="A18"/>
    </sheetView>
  </sheetViews>
  <sheetFormatPr defaultRowHeight="15" x14ac:dyDescent="0.25"/>
  <cols>
    <col min="1" max="1" width="34.7109375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7" width="12.7109375" bestFit="1" customWidth="1"/>
    <col min="8" max="8" width="12.42578125" bestFit="1" customWidth="1"/>
    <col min="9" max="9" width="12.7109375" bestFit="1" customWidth="1"/>
  </cols>
  <sheetData>
    <row r="1" spans="1:9" x14ac:dyDescent="0.25">
      <c r="A1" t="s">
        <v>71</v>
      </c>
    </row>
    <row r="2" spans="1:9" ht="15.75" thickBot="1" x14ac:dyDescent="0.3"/>
    <row r="3" spans="1:9" x14ac:dyDescent="0.25">
      <c r="A3" s="35" t="s">
        <v>72</v>
      </c>
      <c r="B3" s="35"/>
    </row>
    <row r="4" spans="1:9" x14ac:dyDescent="0.25">
      <c r="A4" s="32" t="s">
        <v>73</v>
      </c>
      <c r="B4" s="32">
        <v>0.84413857912742329</v>
      </c>
    </row>
    <row r="5" spans="1:9" x14ac:dyDescent="0.25">
      <c r="A5" s="32" t="s">
        <v>74</v>
      </c>
      <c r="B5" s="32">
        <v>0.71256994077126501</v>
      </c>
    </row>
    <row r="6" spans="1:9" x14ac:dyDescent="0.25">
      <c r="A6" s="32" t="s">
        <v>75</v>
      </c>
      <c r="B6" s="32">
        <v>0.70769824485213384</v>
      </c>
    </row>
    <row r="7" spans="1:9" x14ac:dyDescent="0.25">
      <c r="A7" s="32" t="s">
        <v>76</v>
      </c>
      <c r="B7" s="32">
        <v>0.33338509612236528</v>
      </c>
    </row>
    <row r="8" spans="1:9" ht="15.75" thickBot="1" x14ac:dyDescent="0.3">
      <c r="A8" s="33" t="s">
        <v>77</v>
      </c>
      <c r="B8" s="33">
        <v>61</v>
      </c>
    </row>
    <row r="10" spans="1:9" ht="15.75" thickBot="1" x14ac:dyDescent="0.3">
      <c r="A10" t="s">
        <v>78</v>
      </c>
    </row>
    <row r="11" spans="1:9" x14ac:dyDescent="0.25">
      <c r="A11" s="34"/>
      <c r="B11" s="34" t="s">
        <v>83</v>
      </c>
      <c r="C11" s="34" t="s">
        <v>84</v>
      </c>
      <c r="D11" s="34" t="s">
        <v>85</v>
      </c>
      <c r="E11" s="34" t="s">
        <v>86</v>
      </c>
      <c r="F11" s="34" t="s">
        <v>87</v>
      </c>
    </row>
    <row r="12" spans="1:9" x14ac:dyDescent="0.25">
      <c r="A12" s="32" t="s">
        <v>79</v>
      </c>
      <c r="B12" s="32">
        <v>1</v>
      </c>
      <c r="C12" s="32">
        <v>16.256973100487112</v>
      </c>
      <c r="D12" s="32">
        <v>16.256973100487112</v>
      </c>
      <c r="E12" s="32">
        <v>146.26732714843919</v>
      </c>
      <c r="F12" s="32">
        <v>1.2945895746691357E-17</v>
      </c>
    </row>
    <row r="13" spans="1:9" x14ac:dyDescent="0.25">
      <c r="A13" s="32" t="s">
        <v>80</v>
      </c>
      <c r="B13" s="32">
        <v>59</v>
      </c>
      <c r="C13" s="32">
        <v>6.5575917166746054</v>
      </c>
      <c r="D13" s="32">
        <v>0.11114562231651874</v>
      </c>
      <c r="E13" s="32"/>
      <c r="F13" s="32"/>
    </row>
    <row r="14" spans="1:9" ht="15.75" thickBot="1" x14ac:dyDescent="0.3">
      <c r="A14" s="33" t="s">
        <v>81</v>
      </c>
      <c r="B14" s="33">
        <v>60</v>
      </c>
      <c r="C14" s="33">
        <v>22.814564817161717</v>
      </c>
      <c r="D14" s="33"/>
      <c r="E14" s="33"/>
      <c r="F14" s="33"/>
    </row>
    <row r="15" spans="1:9" ht="15.75" thickBot="1" x14ac:dyDescent="0.3"/>
    <row r="16" spans="1:9" x14ac:dyDescent="0.25">
      <c r="A16" s="34"/>
      <c r="B16" s="34" t="s">
        <v>88</v>
      </c>
      <c r="C16" s="34" t="s">
        <v>76</v>
      </c>
      <c r="D16" s="34" t="s">
        <v>89</v>
      </c>
      <c r="E16" s="34" t="s">
        <v>90</v>
      </c>
      <c r="F16" s="34" t="s">
        <v>91</v>
      </c>
      <c r="G16" s="34" t="s">
        <v>92</v>
      </c>
      <c r="H16" s="34" t="s">
        <v>93</v>
      </c>
      <c r="I16" s="34" t="s">
        <v>94</v>
      </c>
    </row>
    <row r="17" spans="1:9" x14ac:dyDescent="0.25">
      <c r="A17" s="32" t="s">
        <v>82</v>
      </c>
      <c r="B17" s="32">
        <v>3.0886982056326389</v>
      </c>
      <c r="C17" s="32">
        <v>7.2076161339540493E-2</v>
      </c>
      <c r="D17" s="32">
        <v>42.853256169986956</v>
      </c>
      <c r="E17" s="32">
        <v>3.7090285197686868E-46</v>
      </c>
      <c r="F17" s="32">
        <v>2.9444741399218741</v>
      </c>
      <c r="G17" s="32">
        <v>3.2329222713434036</v>
      </c>
      <c r="H17" s="32">
        <v>2.9444741399218741</v>
      </c>
      <c r="I17" s="32">
        <v>3.2329222713434036</v>
      </c>
    </row>
    <row r="18" spans="1:9" ht="15.75" thickBot="1" x14ac:dyDescent="0.3">
      <c r="A18" s="33" t="s">
        <v>101</v>
      </c>
      <c r="B18" s="33">
        <v>-48.333023843001236</v>
      </c>
      <c r="C18" s="33">
        <v>3.9964124565806456</v>
      </c>
      <c r="D18" s="33">
        <v>-12.094102990649583</v>
      </c>
      <c r="E18" s="33">
        <v>1.2945895746691357E-17</v>
      </c>
      <c r="F18" s="33">
        <v>-56.329826697553493</v>
      </c>
      <c r="G18" s="33">
        <v>-40.336220988448979</v>
      </c>
      <c r="H18" s="33">
        <v>-56.329826697553493</v>
      </c>
      <c r="I18" s="33">
        <v>-40.336220988448979</v>
      </c>
    </row>
    <row r="21" spans="1:9" x14ac:dyDescent="0.25">
      <c r="A21" t="s">
        <v>71</v>
      </c>
    </row>
    <row r="22" spans="1:9" ht="15.75" thickBot="1" x14ac:dyDescent="0.3"/>
    <row r="23" spans="1:9" x14ac:dyDescent="0.25">
      <c r="A23" s="35" t="s">
        <v>72</v>
      </c>
      <c r="B23" s="35"/>
    </row>
    <row r="24" spans="1:9" x14ac:dyDescent="0.25">
      <c r="A24" s="32" t="s">
        <v>73</v>
      </c>
      <c r="B24" s="32">
        <v>0.84413857912742318</v>
      </c>
    </row>
    <row r="25" spans="1:9" x14ac:dyDescent="0.25">
      <c r="A25" s="32" t="s">
        <v>74</v>
      </c>
      <c r="B25" s="32">
        <v>0.7125699407712649</v>
      </c>
    </row>
    <row r="26" spans="1:9" x14ac:dyDescent="0.25">
      <c r="A26" s="32" t="s">
        <v>75</v>
      </c>
      <c r="B26" s="52">
        <v>0.70769824485213373</v>
      </c>
    </row>
    <row r="27" spans="1:9" x14ac:dyDescent="0.25">
      <c r="A27" s="32" t="s">
        <v>76</v>
      </c>
      <c r="B27" s="32">
        <v>5.8225866905644427E-3</v>
      </c>
    </row>
    <row r="28" spans="1:9" ht="15.75" thickBot="1" x14ac:dyDescent="0.3">
      <c r="A28" s="33" t="s">
        <v>77</v>
      </c>
      <c r="B28" s="33">
        <v>61</v>
      </c>
    </row>
    <row r="30" spans="1:9" ht="15.75" thickBot="1" x14ac:dyDescent="0.3">
      <c r="A30" t="s">
        <v>78</v>
      </c>
    </row>
    <row r="31" spans="1:9" x14ac:dyDescent="0.25">
      <c r="A31" s="34"/>
      <c r="B31" s="34" t="s">
        <v>83</v>
      </c>
      <c r="C31" s="34" t="s">
        <v>84</v>
      </c>
      <c r="D31" s="34" t="s">
        <v>85</v>
      </c>
      <c r="E31" s="34" t="s">
        <v>86</v>
      </c>
      <c r="F31" s="34" t="s">
        <v>87</v>
      </c>
    </row>
    <row r="32" spans="1:9" x14ac:dyDescent="0.25">
      <c r="A32" s="32" t="s">
        <v>79</v>
      </c>
      <c r="B32" s="32">
        <v>1</v>
      </c>
      <c r="C32" s="32">
        <v>4.9588303651596508E-3</v>
      </c>
      <c r="D32" s="32">
        <v>4.9588303651596508E-3</v>
      </c>
      <c r="E32" s="32">
        <v>146.26732714843911</v>
      </c>
      <c r="F32" s="32">
        <v>1.294589574669145E-17</v>
      </c>
    </row>
    <row r="33" spans="1:11" x14ac:dyDescent="0.25">
      <c r="A33" s="32" t="s">
        <v>80</v>
      </c>
      <c r="B33" s="32">
        <v>59</v>
      </c>
      <c r="C33" s="32">
        <v>2.0002484303791529E-3</v>
      </c>
      <c r="D33" s="32">
        <v>3.3902515769138189E-5</v>
      </c>
      <c r="E33" s="32"/>
      <c r="F33" s="32"/>
    </row>
    <row r="34" spans="1:11" ht="15.75" thickBot="1" x14ac:dyDescent="0.3">
      <c r="A34" s="33" t="s">
        <v>81</v>
      </c>
      <c r="B34" s="33">
        <v>60</v>
      </c>
      <c r="C34" s="33">
        <v>6.9590787955388037E-3</v>
      </c>
      <c r="D34" s="33"/>
      <c r="E34" s="33"/>
      <c r="F34" s="33"/>
    </row>
    <row r="35" spans="1:11" ht="15.75" thickBot="1" x14ac:dyDescent="0.3"/>
    <row r="36" spans="1:11" x14ac:dyDescent="0.25">
      <c r="A36" s="34"/>
      <c r="B36" s="34" t="s">
        <v>88</v>
      </c>
      <c r="C36" s="34" t="s">
        <v>76</v>
      </c>
      <c r="D36" s="34" t="s">
        <v>89</v>
      </c>
      <c r="E36" s="34" t="s">
        <v>90</v>
      </c>
      <c r="F36" s="34" t="s">
        <v>91</v>
      </c>
      <c r="G36" s="34" t="s">
        <v>92</v>
      </c>
      <c r="H36" s="34" t="s">
        <v>93</v>
      </c>
      <c r="I36" s="34" t="s">
        <v>94</v>
      </c>
    </row>
    <row r="37" spans="1:11" x14ac:dyDescent="0.25">
      <c r="A37" s="32" t="s">
        <v>82</v>
      </c>
      <c r="B37" s="32">
        <v>4.971343306816764E-2</v>
      </c>
      <c r="C37" s="32">
        <v>3.0029649077278169E-3</v>
      </c>
      <c r="D37" s="32">
        <v>16.554783221154302</v>
      </c>
      <c r="E37" s="32">
        <v>7.6064313461389954E-24</v>
      </c>
      <c r="F37" s="32">
        <v>4.3704514167243011E-2</v>
      </c>
      <c r="G37" s="32">
        <v>5.5722351969092268E-2</v>
      </c>
      <c r="H37" s="32">
        <v>4.3704514167243011E-2</v>
      </c>
      <c r="I37" s="32">
        <v>5.5722351969092268E-2</v>
      </c>
    </row>
    <row r="38" spans="1:11" ht="15.75" thickBot="1" x14ac:dyDescent="0.3">
      <c r="A38" s="33" t="s">
        <v>33</v>
      </c>
      <c r="B38" s="33">
        <v>-1.4742920763366368E-2</v>
      </c>
      <c r="C38" s="33">
        <v>1.2190172991551913E-3</v>
      </c>
      <c r="D38" s="33">
        <v>-12.094102990649576</v>
      </c>
      <c r="E38" s="33">
        <v>1.294589574669154E-17</v>
      </c>
      <c r="F38" s="33">
        <v>-1.718216874478555E-2</v>
      </c>
      <c r="G38" s="33">
        <v>-1.2303672781947186E-2</v>
      </c>
      <c r="H38" s="33">
        <v>-1.718216874478555E-2</v>
      </c>
      <c r="I38" s="33">
        <v>-1.2303672781947186E-2</v>
      </c>
    </row>
    <row r="42" spans="1:11" x14ac:dyDescent="0.25">
      <c r="C42" t="s">
        <v>109</v>
      </c>
      <c r="D42">
        <f>$B$37</f>
        <v>4.971343306816764E-2</v>
      </c>
      <c r="E42" t="s">
        <v>104</v>
      </c>
      <c r="F42">
        <f>$B$38</f>
        <v>-1.4742920763366368E-2</v>
      </c>
      <c r="G42" t="s">
        <v>105</v>
      </c>
      <c r="H42" t="s">
        <v>106</v>
      </c>
      <c r="J42" t="s">
        <v>107</v>
      </c>
      <c r="K42" t="s">
        <v>108</v>
      </c>
    </row>
    <row r="43" spans="1:11" x14ac:dyDescent="0.25">
      <c r="C43" s="40">
        <f>D43+E43*F43</f>
        <v>5.4846707780685372E-3</v>
      </c>
      <c r="D43">
        <f t="shared" ref="D43:D51" si="0">$B$37</f>
        <v>4.971343306816764E-2</v>
      </c>
      <c r="E43">
        <v>3</v>
      </c>
      <c r="F43">
        <f t="shared" ref="F43:F51" si="1">$B$38</f>
        <v>-1.4742920763366368E-2</v>
      </c>
      <c r="H43">
        <f>$B$27</f>
        <v>5.8225866905644427E-3</v>
      </c>
      <c r="J43" s="41">
        <f>C43+(C43*H43)</f>
        <v>5.516605749143047E-3</v>
      </c>
      <c r="K43" s="41">
        <f>C43-(C43*H43)</f>
        <v>5.4527358069940274E-3</v>
      </c>
    </row>
    <row r="44" spans="1:11" x14ac:dyDescent="0.25">
      <c r="C44" s="40">
        <f>D44+E44*F44</f>
        <v>2.0227591541434903E-2</v>
      </c>
      <c r="D44">
        <f t="shared" si="0"/>
        <v>4.971343306816764E-2</v>
      </c>
      <c r="E44">
        <v>2</v>
      </c>
      <c r="F44">
        <f t="shared" si="1"/>
        <v>-1.4742920763366368E-2</v>
      </c>
      <c r="H44">
        <f t="shared" ref="H44:H51" si="2">$B$27</f>
        <v>5.8225866905644427E-3</v>
      </c>
      <c r="J44" s="41">
        <f t="shared" ref="J44:J51" si="3">C44+(C44*H44)</f>
        <v>2.0345368446726235E-2</v>
      </c>
      <c r="K44" s="41">
        <f t="shared" ref="K44:K51" si="4">C44-(C44*H44)</f>
        <v>2.0109814636143572E-2</v>
      </c>
    </row>
    <row r="45" spans="1:11" x14ac:dyDescent="0.25">
      <c r="C45" s="40">
        <f>D45+E45*F45</f>
        <v>2.7599051923118088E-2</v>
      </c>
      <c r="D45">
        <f t="shared" si="0"/>
        <v>4.971343306816764E-2</v>
      </c>
      <c r="E45">
        <v>1.5</v>
      </c>
      <c r="F45">
        <f t="shared" si="1"/>
        <v>-1.4742920763366368E-2</v>
      </c>
      <c r="H45">
        <f t="shared" si="2"/>
        <v>5.8225866905644427E-3</v>
      </c>
      <c r="J45" s="41">
        <f t="shared" si="3"/>
        <v>2.7759749795517832E-2</v>
      </c>
      <c r="K45" s="41">
        <f t="shared" si="4"/>
        <v>2.7438354050718344E-2</v>
      </c>
    </row>
    <row r="46" spans="1:11" x14ac:dyDescent="0.25">
      <c r="C46" s="40">
        <f>D46+E46*F46</f>
        <v>3.1284782113959679E-2</v>
      </c>
      <c r="D46">
        <f t="shared" si="0"/>
        <v>4.971343306816764E-2</v>
      </c>
      <c r="E46">
        <v>1.25</v>
      </c>
      <c r="F46">
        <f t="shared" si="1"/>
        <v>-1.4742920763366368E-2</v>
      </c>
      <c r="H46">
        <f t="shared" si="2"/>
        <v>5.8225866905644427E-3</v>
      </c>
      <c r="J46" s="41">
        <f t="shared" si="3"/>
        <v>3.1466940469913628E-2</v>
      </c>
      <c r="K46" s="41">
        <f t="shared" si="4"/>
        <v>3.110262375800573E-2</v>
      </c>
    </row>
    <row r="47" spans="1:11" x14ac:dyDescent="0.25">
      <c r="C47" s="40">
        <f t="shared" ref="C47:C51" si="5">D47+E47*F47</f>
        <v>3.497051230480127E-2</v>
      </c>
      <c r="D47">
        <f t="shared" si="0"/>
        <v>4.971343306816764E-2</v>
      </c>
      <c r="E47">
        <v>1</v>
      </c>
      <c r="F47">
        <f t="shared" si="1"/>
        <v>-1.4742920763366368E-2</v>
      </c>
      <c r="H47">
        <f t="shared" si="2"/>
        <v>5.8225866905644427E-3</v>
      </c>
      <c r="J47" s="41">
        <f t="shared" si="3"/>
        <v>3.5174131144309423E-2</v>
      </c>
      <c r="K47" s="41">
        <f t="shared" si="4"/>
        <v>3.4766893465293117E-2</v>
      </c>
    </row>
    <row r="48" spans="1:11" x14ac:dyDescent="0.25">
      <c r="C48" s="40">
        <f t="shared" si="5"/>
        <v>3.8656242495642867E-2</v>
      </c>
      <c r="D48">
        <f t="shared" si="0"/>
        <v>4.971343306816764E-2</v>
      </c>
      <c r="E48">
        <v>0.75</v>
      </c>
      <c r="F48">
        <f t="shared" si="1"/>
        <v>-1.4742920763366368E-2</v>
      </c>
      <c r="H48">
        <f t="shared" si="2"/>
        <v>5.8225866905644427E-3</v>
      </c>
      <c r="J48" s="41">
        <f t="shared" si="3"/>
        <v>3.8881321818705232E-2</v>
      </c>
      <c r="K48" s="41">
        <f t="shared" si="4"/>
        <v>3.8431163172580503E-2</v>
      </c>
    </row>
    <row r="49" spans="3:11" x14ac:dyDescent="0.25">
      <c r="C49" s="40">
        <f t="shared" si="5"/>
        <v>4.2341972686484458E-2</v>
      </c>
      <c r="D49">
        <f t="shared" si="0"/>
        <v>4.971343306816764E-2</v>
      </c>
      <c r="E49">
        <v>0.5</v>
      </c>
      <c r="F49">
        <f t="shared" si="1"/>
        <v>-1.4742920763366368E-2</v>
      </c>
      <c r="H49">
        <f t="shared" si="2"/>
        <v>5.8225866905644427E-3</v>
      </c>
      <c r="J49" s="41">
        <f t="shared" si="3"/>
        <v>4.2588512493101027E-2</v>
      </c>
      <c r="K49" s="41">
        <f t="shared" si="4"/>
        <v>4.2095432879867889E-2</v>
      </c>
    </row>
    <row r="50" spans="3:11" x14ac:dyDescent="0.25">
      <c r="C50" s="40">
        <f t="shared" si="5"/>
        <v>4.6027702877326049E-2</v>
      </c>
      <c r="D50">
        <f t="shared" si="0"/>
        <v>4.971343306816764E-2</v>
      </c>
      <c r="E50">
        <v>0.25</v>
      </c>
      <c r="F50">
        <f t="shared" si="1"/>
        <v>-1.4742920763366368E-2</v>
      </c>
      <c r="H50">
        <f t="shared" si="2"/>
        <v>5.8225866905644427E-3</v>
      </c>
      <c r="J50" s="41">
        <f t="shared" si="3"/>
        <v>4.6295703167496823E-2</v>
      </c>
      <c r="K50" s="41">
        <f t="shared" si="4"/>
        <v>4.5759702587155275E-2</v>
      </c>
    </row>
    <row r="51" spans="3:11" x14ac:dyDescent="0.25">
      <c r="C51" s="40">
        <f t="shared" si="5"/>
        <v>4.8239140991831006E-2</v>
      </c>
      <c r="D51">
        <f t="shared" si="0"/>
        <v>4.971343306816764E-2</v>
      </c>
      <c r="E51">
        <v>0.1</v>
      </c>
      <c r="F51">
        <f t="shared" si="1"/>
        <v>-1.4742920763366368E-2</v>
      </c>
      <c r="H51">
        <f t="shared" si="2"/>
        <v>5.8225866905644427E-3</v>
      </c>
      <c r="J51" s="41">
        <f t="shared" si="3"/>
        <v>4.8520017572134304E-2</v>
      </c>
      <c r="K51" s="41">
        <f t="shared" si="4"/>
        <v>4.7958264411527708E-2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S39"/>
  <sheetViews>
    <sheetView workbookViewId="0">
      <selection activeCell="A18" sqref="A18"/>
    </sheetView>
  </sheetViews>
  <sheetFormatPr defaultRowHeight="15" x14ac:dyDescent="0.25"/>
  <cols>
    <col min="1" max="1" width="18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42578125" bestFit="1" customWidth="1"/>
    <col min="9" max="9" width="12.5703125" bestFit="1" customWidth="1"/>
    <col min="11" max="11" width="18" bestFit="1" customWidth="1"/>
    <col min="12" max="12" width="12.7109375" bestFit="1" customWidth="1"/>
    <col min="13" max="13" width="14.5703125" bestFit="1" customWidth="1"/>
    <col min="14" max="14" width="12.7109375" bestFit="1" customWidth="1"/>
    <col min="15" max="15" width="12" bestFit="1" customWidth="1"/>
    <col min="16" max="16" width="13.42578125" bestFit="1" customWidth="1"/>
    <col min="17" max="19" width="12.7109375" bestFit="1" customWidth="1"/>
  </cols>
  <sheetData>
    <row r="1" spans="1:19" x14ac:dyDescent="0.25">
      <c r="A1" t="s">
        <v>71</v>
      </c>
      <c r="K1" t="s">
        <v>71</v>
      </c>
    </row>
    <row r="2" spans="1:19" ht="15.75" thickBot="1" x14ac:dyDescent="0.3"/>
    <row r="3" spans="1:19" x14ac:dyDescent="0.25">
      <c r="A3" s="35" t="s">
        <v>72</v>
      </c>
      <c r="B3" s="35"/>
      <c r="K3" s="35" t="s">
        <v>72</v>
      </c>
      <c r="L3" s="35"/>
    </row>
    <row r="4" spans="1:19" x14ac:dyDescent="0.25">
      <c r="A4" s="32" t="s">
        <v>73</v>
      </c>
      <c r="B4" s="32">
        <v>0.54796287513511788</v>
      </c>
      <c r="K4" s="32" t="s">
        <v>73</v>
      </c>
      <c r="L4" s="32">
        <v>0.84786779398299894</v>
      </c>
    </row>
    <row r="5" spans="1:19" x14ac:dyDescent="0.25">
      <c r="A5" s="32" t="s">
        <v>74</v>
      </c>
      <c r="B5" s="32">
        <v>0.30026331252634475</v>
      </c>
      <c r="K5" s="32" t="s">
        <v>74</v>
      </c>
      <c r="L5" s="32">
        <v>0.7188797960735972</v>
      </c>
    </row>
    <row r="6" spans="1:19" x14ac:dyDescent="0.25">
      <c r="A6" s="32" t="s">
        <v>75</v>
      </c>
      <c r="B6" s="32">
        <v>0.28840336867085908</v>
      </c>
      <c r="K6" s="32" t="s">
        <v>75</v>
      </c>
      <c r="L6" s="32">
        <v>0.70408399586694437</v>
      </c>
    </row>
    <row r="7" spans="1:19" x14ac:dyDescent="0.25">
      <c r="A7" s="32" t="s">
        <v>76</v>
      </c>
      <c r="B7" s="32">
        <v>9.0848381273961696E-3</v>
      </c>
      <c r="K7" s="32" t="s">
        <v>76</v>
      </c>
      <c r="L7" s="32">
        <v>5.8584736203538554E-3</v>
      </c>
    </row>
    <row r="8" spans="1:19" ht="15.75" thickBot="1" x14ac:dyDescent="0.3">
      <c r="A8" s="33" t="s">
        <v>77</v>
      </c>
      <c r="B8" s="33">
        <v>61</v>
      </c>
      <c r="K8" s="33" t="s">
        <v>77</v>
      </c>
      <c r="L8" s="33">
        <v>61</v>
      </c>
    </row>
    <row r="10" spans="1:19" ht="15.75" thickBot="1" x14ac:dyDescent="0.3">
      <c r="A10" t="s">
        <v>78</v>
      </c>
      <c r="K10" t="s">
        <v>78</v>
      </c>
    </row>
    <row r="11" spans="1:19" x14ac:dyDescent="0.25">
      <c r="A11" s="34"/>
      <c r="B11" s="34" t="s">
        <v>83</v>
      </c>
      <c r="C11" s="34" t="s">
        <v>84</v>
      </c>
      <c r="D11" s="34" t="s">
        <v>85</v>
      </c>
      <c r="E11" s="34" t="s">
        <v>86</v>
      </c>
      <c r="F11" s="34" t="s">
        <v>87</v>
      </c>
      <c r="K11" s="34"/>
      <c r="L11" s="34" t="s">
        <v>83</v>
      </c>
      <c r="M11" s="34" t="s">
        <v>84</v>
      </c>
      <c r="N11" s="34" t="s">
        <v>85</v>
      </c>
      <c r="O11" s="34" t="s">
        <v>86</v>
      </c>
      <c r="P11" s="34" t="s">
        <v>87</v>
      </c>
    </row>
    <row r="12" spans="1:19" x14ac:dyDescent="0.25">
      <c r="A12" s="32" t="s">
        <v>79</v>
      </c>
      <c r="B12" s="32">
        <v>1</v>
      </c>
      <c r="C12" s="32">
        <v>2.0895560512803266E-3</v>
      </c>
      <c r="D12" s="32">
        <v>2.0895560512803266E-3</v>
      </c>
      <c r="E12" s="32">
        <v>25.317431194032284</v>
      </c>
      <c r="F12" s="32">
        <v>4.8552411557490948E-6</v>
      </c>
      <c r="K12" s="32" t="s">
        <v>79</v>
      </c>
      <c r="L12" s="32">
        <v>3</v>
      </c>
      <c r="M12" s="32">
        <v>5.0027411453970293E-3</v>
      </c>
      <c r="N12" s="32">
        <v>1.6675803817990098E-3</v>
      </c>
      <c r="O12" s="32">
        <v>48.586746646549081</v>
      </c>
      <c r="P12" s="32">
        <v>1.0235964348935205E-15</v>
      </c>
    </row>
    <row r="13" spans="1:19" x14ac:dyDescent="0.25">
      <c r="A13" s="32" t="s">
        <v>80</v>
      </c>
      <c r="B13" s="32">
        <v>59</v>
      </c>
      <c r="C13" s="32">
        <v>4.8695227442584772E-3</v>
      </c>
      <c r="D13" s="32">
        <v>8.2534283800991137E-5</v>
      </c>
      <c r="E13" s="32"/>
      <c r="F13" s="32"/>
      <c r="K13" s="32" t="s">
        <v>80</v>
      </c>
      <c r="L13" s="32">
        <v>57</v>
      </c>
      <c r="M13" s="32">
        <v>1.9563376501417745E-3</v>
      </c>
      <c r="N13" s="32">
        <v>3.4321713160382005E-5</v>
      </c>
      <c r="O13" s="32"/>
      <c r="P13" s="32"/>
    </row>
    <row r="14" spans="1:19" ht="15.75" thickBot="1" x14ac:dyDescent="0.3">
      <c r="A14" s="33" t="s">
        <v>81</v>
      </c>
      <c r="B14" s="33">
        <v>60</v>
      </c>
      <c r="C14" s="33">
        <v>6.9590787955388037E-3</v>
      </c>
      <c r="D14" s="33"/>
      <c r="E14" s="33"/>
      <c r="F14" s="33"/>
      <c r="K14" s="33" t="s">
        <v>81</v>
      </c>
      <c r="L14" s="33">
        <v>60</v>
      </c>
      <c r="M14" s="33">
        <v>6.9590787955388037E-3</v>
      </c>
      <c r="N14" s="33"/>
      <c r="O14" s="33"/>
      <c r="P14" s="33"/>
    </row>
    <row r="15" spans="1:19" ht="15.75" thickBot="1" x14ac:dyDescent="0.3"/>
    <row r="16" spans="1:19" x14ac:dyDescent="0.25">
      <c r="A16" s="34"/>
      <c r="B16" s="34" t="s">
        <v>88</v>
      </c>
      <c r="C16" s="34" t="s">
        <v>76</v>
      </c>
      <c r="D16" s="34" t="s">
        <v>89</v>
      </c>
      <c r="E16" s="34" t="s">
        <v>90</v>
      </c>
      <c r="F16" s="34" t="s">
        <v>91</v>
      </c>
      <c r="G16" s="34" t="s">
        <v>92</v>
      </c>
      <c r="H16" s="34" t="s">
        <v>93</v>
      </c>
      <c r="I16" s="34" t="s">
        <v>94</v>
      </c>
      <c r="K16" s="34"/>
      <c r="L16" s="34" t="s">
        <v>88</v>
      </c>
      <c r="M16" s="34" t="s">
        <v>76</v>
      </c>
      <c r="N16" s="34" t="s">
        <v>89</v>
      </c>
      <c r="O16" s="34" t="s">
        <v>90</v>
      </c>
      <c r="P16" s="34" t="s">
        <v>91</v>
      </c>
      <c r="Q16" s="34" t="s">
        <v>92</v>
      </c>
      <c r="R16" s="34" t="s">
        <v>93</v>
      </c>
      <c r="S16" s="34" t="s">
        <v>94</v>
      </c>
    </row>
    <row r="17" spans="1:19" x14ac:dyDescent="0.25">
      <c r="A17" s="32" t="s">
        <v>82</v>
      </c>
      <c r="B17" s="32">
        <v>5.4020988418966159E-3</v>
      </c>
      <c r="C17" s="32">
        <v>2.1553624773390421E-3</v>
      </c>
      <c r="D17" s="32">
        <v>2.50635282867405</v>
      </c>
      <c r="E17" s="32">
        <v>1.4974775055783889E-2</v>
      </c>
      <c r="F17" s="32">
        <v>1.0892284866363122E-3</v>
      </c>
      <c r="G17" s="32">
        <v>9.7149691971569196E-3</v>
      </c>
      <c r="H17" s="32">
        <v>1.0892284866363122E-3</v>
      </c>
      <c r="I17" s="32">
        <v>9.7149691971569196E-3</v>
      </c>
      <c r="K17" s="32" t="s">
        <v>82</v>
      </c>
      <c r="L17" s="32">
        <v>4.6079734233727597E-2</v>
      </c>
      <c r="M17" s="32">
        <v>4.648804831419457E-3</v>
      </c>
      <c r="N17" s="32">
        <v>9.9121679452517899</v>
      </c>
      <c r="O17" s="32">
        <v>5.1906255108758665E-14</v>
      </c>
      <c r="P17" s="32">
        <v>3.6770663131824984E-2</v>
      </c>
      <c r="Q17" s="32">
        <v>5.538880533563021E-2</v>
      </c>
      <c r="R17" s="32">
        <v>3.6770663131824984E-2</v>
      </c>
      <c r="S17" s="32">
        <v>5.538880533563021E-2</v>
      </c>
    </row>
    <row r="18" spans="1:19" ht="15.75" thickBot="1" x14ac:dyDescent="0.3">
      <c r="A18" s="33" t="s">
        <v>11</v>
      </c>
      <c r="B18" s="33">
        <v>1.0629877601473759E-5</v>
      </c>
      <c r="C18" s="33">
        <v>2.112605687527009E-6</v>
      </c>
      <c r="D18" s="33">
        <v>5.0316429915120446</v>
      </c>
      <c r="E18" s="33">
        <v>4.8552411557490948E-6</v>
      </c>
      <c r="F18" s="33">
        <v>6.402563385009225E-6</v>
      </c>
      <c r="G18" s="33">
        <v>1.4857191817938293E-5</v>
      </c>
      <c r="H18" s="33">
        <v>6.402563385009225E-6</v>
      </c>
      <c r="I18" s="33">
        <v>1.4857191817938293E-5</v>
      </c>
      <c r="K18" s="32" t="s">
        <v>33</v>
      </c>
      <c r="L18" s="32">
        <v>-1.3827580074102565E-2</v>
      </c>
      <c r="M18" s="32">
        <v>1.5012953449951016E-3</v>
      </c>
      <c r="N18" s="32">
        <v>-9.2104329239412124</v>
      </c>
      <c r="O18" s="32">
        <v>7.010504640773176E-13</v>
      </c>
      <c r="P18" s="32">
        <v>-1.683387214664963E-2</v>
      </c>
      <c r="Q18" s="32">
        <v>-1.0821288001555499E-2</v>
      </c>
      <c r="R18" s="32">
        <v>-1.683387214664963E-2</v>
      </c>
      <c r="S18" s="32">
        <v>-1.0821288001555499E-2</v>
      </c>
    </row>
    <row r="19" spans="1:19" x14ac:dyDescent="0.25">
      <c r="K19" s="32" t="s">
        <v>12</v>
      </c>
      <c r="L19" s="32">
        <v>-3.6155264757904743E-5</v>
      </c>
      <c r="M19" s="32">
        <v>1.2141240638097516E-4</v>
      </c>
      <c r="N19" s="32">
        <v>-0.29778888200646131</v>
      </c>
      <c r="O19" s="32">
        <v>0.76694702238257939</v>
      </c>
      <c r="P19" s="32">
        <v>-2.792794148652105E-4</v>
      </c>
      <c r="Q19" s="32">
        <v>2.0696888534940103E-4</v>
      </c>
      <c r="R19" s="32">
        <v>-2.792794148652105E-4</v>
      </c>
      <c r="S19" s="32">
        <v>2.0696888534940103E-4</v>
      </c>
    </row>
    <row r="20" spans="1:19" ht="15.75" thickBot="1" x14ac:dyDescent="0.3">
      <c r="K20" s="33" t="s">
        <v>11</v>
      </c>
      <c r="L20" s="33">
        <v>4.6200765610044985E-5</v>
      </c>
      <c r="M20" s="33">
        <v>1.4905446860168575E-4</v>
      </c>
      <c r="N20" s="33">
        <v>0.30995894348867897</v>
      </c>
      <c r="O20" s="33">
        <v>0.75772260025681537</v>
      </c>
      <c r="P20" s="33">
        <v>-2.5227565931780661E-4</v>
      </c>
      <c r="Q20" s="33">
        <v>3.4467719053789654E-4</v>
      </c>
      <c r="R20" s="33">
        <v>-2.5227565931780661E-4</v>
      </c>
      <c r="S20" s="33">
        <v>3.4467719053789654E-4</v>
      </c>
    </row>
    <row r="21" spans="1:19" x14ac:dyDescent="0.25">
      <c r="A21" t="s">
        <v>71</v>
      </c>
    </row>
    <row r="22" spans="1:19" ht="15.75" thickBot="1" x14ac:dyDescent="0.3">
      <c r="K22" t="s">
        <v>71</v>
      </c>
    </row>
    <row r="23" spans="1:19" ht="15.75" thickBot="1" x14ac:dyDescent="0.3">
      <c r="A23" s="35" t="s">
        <v>72</v>
      </c>
      <c r="B23" s="35"/>
    </row>
    <row r="24" spans="1:19" x14ac:dyDescent="0.25">
      <c r="A24" s="32" t="s">
        <v>73</v>
      </c>
      <c r="B24" s="32">
        <v>0.54807881619345489</v>
      </c>
      <c r="K24" s="35" t="s">
        <v>72</v>
      </c>
      <c r="L24" s="35"/>
    </row>
    <row r="25" spans="1:19" x14ac:dyDescent="0.25">
      <c r="A25" s="32" t="s">
        <v>74</v>
      </c>
      <c r="B25" s="32">
        <v>0.30039038876001894</v>
      </c>
      <c r="K25" s="32" t="s">
        <v>73</v>
      </c>
      <c r="L25" s="32">
        <v>0.35762415246960905</v>
      </c>
    </row>
    <row r="26" spans="1:19" x14ac:dyDescent="0.25">
      <c r="A26" s="32" t="s">
        <v>75</v>
      </c>
      <c r="B26" s="32">
        <v>0.28853259873900233</v>
      </c>
      <c r="K26" s="32" t="s">
        <v>74</v>
      </c>
      <c r="L26" s="32">
        <v>0.12789503442960617</v>
      </c>
    </row>
    <row r="27" spans="1:19" x14ac:dyDescent="0.25">
      <c r="A27" s="32" t="s">
        <v>76</v>
      </c>
      <c r="B27" s="32">
        <v>9.0840131603387962E-3</v>
      </c>
      <c r="K27" s="32" t="s">
        <v>75</v>
      </c>
      <c r="L27" s="32">
        <v>0.11311359433519272</v>
      </c>
    </row>
    <row r="28" spans="1:19" ht="15.75" thickBot="1" x14ac:dyDescent="0.3">
      <c r="A28" s="33" t="s">
        <v>77</v>
      </c>
      <c r="B28" s="33">
        <v>61</v>
      </c>
      <c r="K28" s="32" t="s">
        <v>76</v>
      </c>
      <c r="L28" s="32">
        <v>1.0142248583453264E-2</v>
      </c>
    </row>
    <row r="29" spans="1:19" ht="15.75" thickBot="1" x14ac:dyDescent="0.3">
      <c r="K29" s="33" t="s">
        <v>77</v>
      </c>
      <c r="L29" s="33">
        <v>61</v>
      </c>
    </row>
    <row r="30" spans="1:19" ht="15.75" thickBot="1" x14ac:dyDescent="0.3">
      <c r="A30" t="s">
        <v>78</v>
      </c>
    </row>
    <row r="31" spans="1:19" ht="15.75" thickBot="1" x14ac:dyDescent="0.3">
      <c r="A31" s="34"/>
      <c r="B31" s="34" t="s">
        <v>83</v>
      </c>
      <c r="C31" s="34" t="s">
        <v>84</v>
      </c>
      <c r="D31" s="34" t="s">
        <v>85</v>
      </c>
      <c r="E31" s="34" t="s">
        <v>86</v>
      </c>
      <c r="F31" s="34" t="s">
        <v>87</v>
      </c>
      <c r="K31" t="s">
        <v>78</v>
      </c>
    </row>
    <row r="32" spans="1:19" x14ac:dyDescent="0.25">
      <c r="A32" s="32" t="s">
        <v>79</v>
      </c>
      <c r="B32" s="32">
        <v>1</v>
      </c>
      <c r="C32" s="32">
        <v>2.0904403848035057E-3</v>
      </c>
      <c r="D32" s="32">
        <v>2.0904403848035057E-3</v>
      </c>
      <c r="E32" s="32">
        <v>25.332746509055234</v>
      </c>
      <c r="F32" s="32">
        <v>4.8283705712536901E-6</v>
      </c>
      <c r="K32" s="34"/>
      <c r="L32" s="34" t="s">
        <v>83</v>
      </c>
      <c r="M32" s="34" t="s">
        <v>84</v>
      </c>
      <c r="N32" s="34" t="s">
        <v>85</v>
      </c>
      <c r="O32" s="34" t="s">
        <v>86</v>
      </c>
      <c r="P32" s="34" t="s">
        <v>87</v>
      </c>
    </row>
    <row r="33" spans="1:19" x14ac:dyDescent="0.25">
      <c r="A33" s="32" t="s">
        <v>80</v>
      </c>
      <c r="B33" s="32">
        <v>59</v>
      </c>
      <c r="C33" s="32">
        <v>4.868638410735298E-3</v>
      </c>
      <c r="D33" s="32">
        <v>8.2519295097208443E-5</v>
      </c>
      <c r="E33" s="32"/>
      <c r="F33" s="32"/>
      <c r="K33" s="32" t="s">
        <v>79</v>
      </c>
      <c r="L33" s="32">
        <v>1</v>
      </c>
      <c r="M33" s="32">
        <v>8.9003162215377761E-4</v>
      </c>
      <c r="N33" s="32">
        <v>8.9003162215377761E-4</v>
      </c>
      <c r="O33" s="32">
        <v>8.6524069111468549</v>
      </c>
      <c r="P33" s="32">
        <v>4.6608877154623671E-3</v>
      </c>
    </row>
    <row r="34" spans="1:19" ht="15.75" thickBot="1" x14ac:dyDescent="0.3">
      <c r="A34" s="33" t="s">
        <v>81</v>
      </c>
      <c r="B34" s="33">
        <v>60</v>
      </c>
      <c r="C34" s="33">
        <v>6.9590787955388037E-3</v>
      </c>
      <c r="D34" s="33"/>
      <c r="E34" s="33"/>
      <c r="F34" s="33"/>
      <c r="K34" s="32" t="s">
        <v>80</v>
      </c>
      <c r="L34" s="32">
        <v>59</v>
      </c>
      <c r="M34" s="32">
        <v>6.0690471733850261E-3</v>
      </c>
      <c r="N34" s="32">
        <v>1.0286520632855976E-4</v>
      </c>
      <c r="O34" s="32"/>
      <c r="P34" s="32"/>
    </row>
    <row r="35" spans="1:19" ht="15.75" thickBot="1" x14ac:dyDescent="0.3">
      <c r="K35" s="33" t="s">
        <v>81</v>
      </c>
      <c r="L35" s="33">
        <v>60</v>
      </c>
      <c r="M35" s="33">
        <v>6.9590787955388037E-3</v>
      </c>
      <c r="N35" s="33"/>
      <c r="O35" s="33"/>
      <c r="P35" s="33"/>
    </row>
    <row r="36" spans="1:19" ht="15.75" thickBot="1" x14ac:dyDescent="0.3">
      <c r="A36" s="34"/>
      <c r="B36" s="34" t="s">
        <v>88</v>
      </c>
      <c r="C36" s="34" t="s">
        <v>76</v>
      </c>
      <c r="D36" s="34" t="s">
        <v>89</v>
      </c>
      <c r="E36" s="34" t="s">
        <v>90</v>
      </c>
      <c r="F36" s="34" t="s">
        <v>91</v>
      </c>
      <c r="G36" s="34" t="s">
        <v>92</v>
      </c>
      <c r="H36" s="34" t="s">
        <v>93</v>
      </c>
      <c r="I36" s="34" t="s">
        <v>94</v>
      </c>
    </row>
    <row r="37" spans="1:19" x14ac:dyDescent="0.25">
      <c r="A37" s="32" t="s">
        <v>82</v>
      </c>
      <c r="B37" s="32">
        <v>5.3772350507721462E-3</v>
      </c>
      <c r="C37" s="32">
        <v>2.1590038806963059E-3</v>
      </c>
      <c r="D37" s="32">
        <v>2.4906092568198259</v>
      </c>
      <c r="E37" s="32">
        <v>1.5586962648155426E-2</v>
      </c>
      <c r="F37" s="32">
        <v>1.0570782642242019E-3</v>
      </c>
      <c r="G37" s="32">
        <v>9.6973918373200914E-3</v>
      </c>
      <c r="H37" s="32">
        <v>1.0570782642242019E-3</v>
      </c>
      <c r="I37" s="32">
        <v>9.6973918373200914E-3</v>
      </c>
      <c r="K37" s="34"/>
      <c r="L37" s="34" t="s">
        <v>88</v>
      </c>
      <c r="M37" s="34" t="s">
        <v>76</v>
      </c>
      <c r="N37" s="34" t="s">
        <v>89</v>
      </c>
      <c r="O37" s="34" t="s">
        <v>90</v>
      </c>
      <c r="P37" s="34" t="s">
        <v>91</v>
      </c>
      <c r="Q37" s="34" t="s">
        <v>92</v>
      </c>
      <c r="R37" s="34" t="s">
        <v>93</v>
      </c>
      <c r="S37" s="34" t="s">
        <v>94</v>
      </c>
    </row>
    <row r="38" spans="1:19" ht="15.75" thickBot="1" x14ac:dyDescent="0.3">
      <c r="A38" s="33" t="s">
        <v>12</v>
      </c>
      <c r="B38" s="33">
        <v>8.6574781454398273E-6</v>
      </c>
      <c r="C38" s="33">
        <v>1.7200864123889487E-6</v>
      </c>
      <c r="D38" s="33">
        <v>5.0331646614287564</v>
      </c>
      <c r="E38" s="33">
        <v>4.8283705712536638E-6</v>
      </c>
      <c r="F38" s="33">
        <v>5.2155931843371093E-6</v>
      </c>
      <c r="G38" s="33">
        <v>1.2099363106542545E-5</v>
      </c>
      <c r="H38" s="33">
        <v>5.2155931843371093E-6</v>
      </c>
      <c r="I38" s="33">
        <v>1.2099363106542545E-5</v>
      </c>
      <c r="K38" s="32" t="s">
        <v>82</v>
      </c>
      <c r="L38" s="32">
        <v>8.0752293209696187E-3</v>
      </c>
      <c r="M38" s="32">
        <v>2.5504822756273094E-3</v>
      </c>
      <c r="N38" s="32">
        <v>3.1661577883278795</v>
      </c>
      <c r="O38" s="32">
        <v>2.4447817070055839E-3</v>
      </c>
      <c r="P38" s="32">
        <v>2.9717260755433225E-3</v>
      </c>
      <c r="Q38" s="32">
        <v>1.3178732566395915E-2</v>
      </c>
      <c r="R38" s="32">
        <v>2.9717260755433225E-3</v>
      </c>
      <c r="S38" s="32">
        <v>1.3178732566395915E-2</v>
      </c>
    </row>
    <row r="39" spans="1:19" ht="15.75" thickBot="1" x14ac:dyDescent="0.3">
      <c r="K39" s="33" t="s">
        <v>10</v>
      </c>
      <c r="L39" s="33">
        <v>3.8280376827419232E-7</v>
      </c>
      <c r="M39" s="33">
        <v>1.3013908128109538E-7</v>
      </c>
      <c r="N39" s="33">
        <v>2.9414973926806121</v>
      </c>
      <c r="O39" s="33">
        <v>4.6608877154623906E-3</v>
      </c>
      <c r="P39" s="33">
        <v>1.2239606812206694E-7</v>
      </c>
      <c r="Q39" s="33">
        <v>6.4321146842631775E-7</v>
      </c>
      <c r="R39" s="33">
        <v>1.2239606812206694E-7</v>
      </c>
      <c r="S39" s="33">
        <v>6.4321146842631775E-7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S28"/>
  <sheetViews>
    <sheetView workbookViewId="0">
      <selection activeCell="A18" sqref="A18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9" width="12.7109375" bestFit="1" customWidth="1"/>
    <col min="11" max="11" width="18" bestFit="1" customWidth="1"/>
    <col min="12" max="12" width="12.7109375" bestFit="1" customWidth="1"/>
  </cols>
  <sheetData>
    <row r="1" spans="1:19" x14ac:dyDescent="0.25">
      <c r="A1" t="s">
        <v>71</v>
      </c>
      <c r="K1" t="s">
        <v>71</v>
      </c>
    </row>
    <row r="2" spans="1:19" ht="15.75" thickBot="1" x14ac:dyDescent="0.3"/>
    <row r="3" spans="1:19" x14ac:dyDescent="0.25">
      <c r="A3" s="35" t="s">
        <v>72</v>
      </c>
      <c r="B3" s="35"/>
      <c r="K3" s="35" t="s">
        <v>72</v>
      </c>
      <c r="L3" s="35"/>
    </row>
    <row r="4" spans="1:19" x14ac:dyDescent="0.25">
      <c r="A4" s="32" t="s">
        <v>73</v>
      </c>
      <c r="B4" s="32">
        <v>0.99238734164430553</v>
      </c>
      <c r="K4" s="32" t="s">
        <v>73</v>
      </c>
      <c r="L4" s="32">
        <v>0.108512105751861</v>
      </c>
    </row>
    <row r="5" spans="1:19" x14ac:dyDescent="0.25">
      <c r="A5" s="32" t="s">
        <v>74</v>
      </c>
      <c r="B5" s="32">
        <v>0.98483263585585168</v>
      </c>
      <c r="K5" s="32" t="s">
        <v>74</v>
      </c>
      <c r="L5" s="32">
        <v>1.1774877094703066E-2</v>
      </c>
    </row>
    <row r="6" spans="1:19" x14ac:dyDescent="0.25">
      <c r="A6" s="32" t="s">
        <v>75</v>
      </c>
      <c r="B6" s="32">
        <v>0.92480688752598261</v>
      </c>
      <c r="K6" s="32" t="s">
        <v>75</v>
      </c>
      <c r="L6" s="32">
        <v>-4.9747012596240009E-3</v>
      </c>
    </row>
    <row r="7" spans="1:19" x14ac:dyDescent="0.25">
      <c r="A7" s="32" t="s">
        <v>76</v>
      </c>
      <c r="B7" s="32">
        <v>1.4247191504600661E-3</v>
      </c>
      <c r="K7" s="32" t="s">
        <v>76</v>
      </c>
      <c r="L7" s="32">
        <v>0.30193897124712499</v>
      </c>
    </row>
    <row r="8" spans="1:19" ht="15.75" thickBot="1" x14ac:dyDescent="0.3">
      <c r="A8" s="33" t="s">
        <v>77</v>
      </c>
      <c r="B8" s="33">
        <v>61</v>
      </c>
      <c r="K8" s="33" t="s">
        <v>77</v>
      </c>
      <c r="L8" s="33">
        <v>61</v>
      </c>
    </row>
    <row r="10" spans="1:19" ht="15.75" thickBot="1" x14ac:dyDescent="0.3">
      <c r="A10" t="s">
        <v>78</v>
      </c>
      <c r="K10" t="s">
        <v>78</v>
      </c>
    </row>
    <row r="11" spans="1:19" x14ac:dyDescent="0.25">
      <c r="A11" s="34"/>
      <c r="B11" s="34" t="s">
        <v>83</v>
      </c>
      <c r="C11" s="34" t="s">
        <v>84</v>
      </c>
      <c r="D11" s="34" t="s">
        <v>85</v>
      </c>
      <c r="E11" s="34" t="s">
        <v>86</v>
      </c>
      <c r="F11" s="34" t="s">
        <v>87</v>
      </c>
      <c r="K11" s="34"/>
      <c r="L11" s="34" t="s">
        <v>83</v>
      </c>
      <c r="M11" s="34" t="s">
        <v>84</v>
      </c>
      <c r="N11" s="34" t="s">
        <v>85</v>
      </c>
      <c r="O11" s="34" t="s">
        <v>86</v>
      </c>
      <c r="P11" s="34" t="s">
        <v>87</v>
      </c>
    </row>
    <row r="12" spans="1:19" x14ac:dyDescent="0.25">
      <c r="A12" s="32" t="s">
        <v>79</v>
      </c>
      <c r="B12" s="32">
        <v>11</v>
      </c>
      <c r="C12" s="32">
        <v>6.8535279133390458E-3</v>
      </c>
      <c r="D12" s="32">
        <v>6.2304799212173139E-4</v>
      </c>
      <c r="E12" s="32">
        <v>422.05172053792609</v>
      </c>
      <c r="F12" s="32">
        <v>1.5169757187048065E-44</v>
      </c>
      <c r="K12" s="32" t="s">
        <v>79</v>
      </c>
      <c r="L12" s="32">
        <v>1</v>
      </c>
      <c r="M12" s="32">
        <v>6.409008475492417E-2</v>
      </c>
      <c r="N12" s="32">
        <v>6.409008475492417E-2</v>
      </c>
      <c r="O12" s="32">
        <v>0.702995433414069</v>
      </c>
      <c r="P12" s="32">
        <v>0.40516311569426844</v>
      </c>
    </row>
    <row r="13" spans="1:19" x14ac:dyDescent="0.25">
      <c r="A13" s="32" t="s">
        <v>80</v>
      </c>
      <c r="B13" s="32">
        <v>52</v>
      </c>
      <c r="C13" s="32">
        <v>1.0555088219975794E-4</v>
      </c>
      <c r="D13" s="32">
        <v>2.0298246576876527E-6</v>
      </c>
      <c r="E13" s="32"/>
      <c r="F13" s="32"/>
      <c r="K13" s="32" t="s">
        <v>80</v>
      </c>
      <c r="L13" s="32">
        <v>59</v>
      </c>
      <c r="M13" s="32">
        <v>5.3788613991085574</v>
      </c>
      <c r="N13" s="32">
        <v>9.1167142357772166E-2</v>
      </c>
      <c r="O13" s="32"/>
      <c r="P13" s="32"/>
    </row>
    <row r="14" spans="1:19" ht="15.75" thickBot="1" x14ac:dyDescent="0.3">
      <c r="A14" s="33" t="s">
        <v>81</v>
      </c>
      <c r="B14" s="33">
        <v>63</v>
      </c>
      <c r="C14" s="33">
        <v>6.9590787955388037E-3</v>
      </c>
      <c r="D14" s="33"/>
      <c r="E14" s="33"/>
      <c r="F14" s="33"/>
      <c r="K14" s="33" t="s">
        <v>81</v>
      </c>
      <c r="L14" s="33">
        <v>60</v>
      </c>
      <c r="M14" s="33">
        <v>5.4429514838634816</v>
      </c>
      <c r="N14" s="33"/>
      <c r="O14" s="33"/>
      <c r="P14" s="33"/>
    </row>
    <row r="15" spans="1:19" ht="15.75" thickBot="1" x14ac:dyDescent="0.3"/>
    <row r="16" spans="1:19" x14ac:dyDescent="0.25">
      <c r="A16" s="34"/>
      <c r="B16" s="34" t="s">
        <v>88</v>
      </c>
      <c r="C16" s="34" t="s">
        <v>76</v>
      </c>
      <c r="D16" s="34" t="s">
        <v>89</v>
      </c>
      <c r="E16" s="34" t="s">
        <v>90</v>
      </c>
      <c r="F16" s="34" t="s">
        <v>91</v>
      </c>
      <c r="G16" s="34" t="s">
        <v>92</v>
      </c>
      <c r="H16" s="34" t="s">
        <v>93</v>
      </c>
      <c r="I16" s="34" t="s">
        <v>94</v>
      </c>
      <c r="K16" s="34"/>
      <c r="L16" s="34" t="s">
        <v>88</v>
      </c>
      <c r="M16" s="34" t="s">
        <v>76</v>
      </c>
      <c r="N16" s="34" t="s">
        <v>89</v>
      </c>
      <c r="O16" s="34" t="s">
        <v>90</v>
      </c>
      <c r="P16" s="34" t="s">
        <v>91</v>
      </c>
      <c r="Q16" s="34" t="s">
        <v>92</v>
      </c>
      <c r="R16" s="34" t="s">
        <v>93</v>
      </c>
      <c r="S16" s="34" t="s">
        <v>94</v>
      </c>
    </row>
    <row r="17" spans="1:19" x14ac:dyDescent="0.25">
      <c r="A17" s="32" t="s">
        <v>82</v>
      </c>
      <c r="B17" s="32">
        <v>4.4910273489776498E-2</v>
      </c>
      <c r="C17" s="32">
        <v>3.0789024523797765E-3</v>
      </c>
      <c r="D17" s="32">
        <v>14.586455460797074</v>
      </c>
      <c r="E17" s="32">
        <v>5.1181336028422529E-20</v>
      </c>
      <c r="F17" s="32">
        <v>3.8732003720612029E-2</v>
      </c>
      <c r="G17" s="32">
        <v>5.1088543258940966E-2</v>
      </c>
      <c r="H17" s="32">
        <v>3.8732003720612029E-2</v>
      </c>
      <c r="I17" s="32">
        <v>5.1088543258940966E-2</v>
      </c>
      <c r="K17" s="32" t="s">
        <v>82</v>
      </c>
      <c r="L17" s="32">
        <v>-0.66684428998962608</v>
      </c>
      <c r="M17" s="32">
        <v>1.2806423707196279</v>
      </c>
      <c r="N17" s="32">
        <v>-0.52071078174221896</v>
      </c>
      <c r="O17" s="32">
        <v>0.60451704319406019</v>
      </c>
      <c r="P17" s="32">
        <v>-3.229403754783605</v>
      </c>
      <c r="Q17" s="32">
        <v>1.8957151748043526</v>
      </c>
      <c r="R17" s="32">
        <v>-3.229403754783605</v>
      </c>
      <c r="S17" s="32">
        <v>1.8957151748043526</v>
      </c>
    </row>
    <row r="18" spans="1:19" ht="15.75" thickBot="1" x14ac:dyDescent="0.3">
      <c r="A18" s="32" t="s">
        <v>10</v>
      </c>
      <c r="B18" s="32">
        <v>9.8241022962865093E-6</v>
      </c>
      <c r="C18" s="32">
        <v>1.3199316747386972E-6</v>
      </c>
      <c r="D18" s="32">
        <v>7.442886995064617</v>
      </c>
      <c r="E18" s="32">
        <v>9.7427848562101271E-10</v>
      </c>
      <c r="F18" s="32">
        <v>7.1754656182723818E-6</v>
      </c>
      <c r="G18" s="32">
        <v>1.2472738974300638E-5</v>
      </c>
      <c r="H18" s="32">
        <v>7.1754656182723818E-6</v>
      </c>
      <c r="I18" s="32">
        <v>1.2472738974300638E-5</v>
      </c>
      <c r="K18" s="33" t="s">
        <v>111</v>
      </c>
      <c r="L18" s="33">
        <v>7.9082665933703762</v>
      </c>
      <c r="M18" s="33">
        <v>9.4320273046081393</v>
      </c>
      <c r="N18" s="33">
        <v>0.83844822941794173</v>
      </c>
      <c r="O18" s="33">
        <v>0.40516311569426411</v>
      </c>
      <c r="P18" s="33">
        <v>-10.965176449152862</v>
      </c>
      <c r="Q18" s="33">
        <v>26.781709635893613</v>
      </c>
      <c r="R18" s="33">
        <v>-10.965176449152862</v>
      </c>
      <c r="S18" s="33">
        <v>26.781709635893613</v>
      </c>
    </row>
    <row r="19" spans="1:19" x14ac:dyDescent="0.25">
      <c r="A19" s="32" t="s">
        <v>15</v>
      </c>
      <c r="B19" s="32">
        <v>8.7562002443975938E-4</v>
      </c>
      <c r="C19" s="32">
        <v>5.4155969761935448E-4</v>
      </c>
      <c r="D19" s="32">
        <v>1.6168485732762292</v>
      </c>
      <c r="E19" s="32">
        <v>0.11196218489316198</v>
      </c>
      <c r="F19" s="32">
        <v>-2.1109901253829112E-4</v>
      </c>
      <c r="G19" s="32">
        <v>1.9623390614178097E-3</v>
      </c>
      <c r="H19" s="32">
        <v>-2.1109901253829112E-4</v>
      </c>
      <c r="I19" s="32">
        <v>1.9623390614178097E-3</v>
      </c>
    </row>
    <row r="20" spans="1:19" x14ac:dyDescent="0.25">
      <c r="A20" s="32" t="s">
        <v>16</v>
      </c>
      <c r="B20" s="32">
        <v>-9.5920279279498811E-4</v>
      </c>
      <c r="C20" s="32">
        <v>6.0546755603036763E-4</v>
      </c>
      <c r="D20" s="32">
        <v>-1.5842348334629488</v>
      </c>
      <c r="E20" s="32">
        <v>0.11920378826466518</v>
      </c>
      <c r="F20" s="32">
        <v>-2.1741623296718327E-3</v>
      </c>
      <c r="G20" s="32">
        <v>2.5575674408185656E-4</v>
      </c>
      <c r="H20" s="32">
        <v>-2.1741623296718327E-3</v>
      </c>
      <c r="I20" s="32">
        <v>2.5575674408185656E-4</v>
      </c>
    </row>
    <row r="21" spans="1:19" x14ac:dyDescent="0.25">
      <c r="A21" s="32" t="s">
        <v>33</v>
      </c>
      <c r="B21" s="32">
        <v>2.0073019086944935E-2</v>
      </c>
      <c r="C21" s="32">
        <v>1.1373355550726112E-2</v>
      </c>
      <c r="D21" s="32">
        <v>1.7649161672135896</v>
      </c>
      <c r="E21" s="32">
        <v>8.3450125032460881E-2</v>
      </c>
      <c r="F21" s="32">
        <v>-2.7492884917502125E-3</v>
      </c>
      <c r="G21" s="32">
        <v>4.2895326665640082E-2</v>
      </c>
      <c r="H21" s="32">
        <v>-2.7492884917502125E-3</v>
      </c>
      <c r="I21" s="32">
        <v>4.2895326665640082E-2</v>
      </c>
    </row>
    <row r="22" spans="1:19" x14ac:dyDescent="0.25">
      <c r="A22" s="32" t="s">
        <v>12</v>
      </c>
      <c r="B22" s="32">
        <v>-6.4493498873402187E-3</v>
      </c>
      <c r="C22" s="32">
        <v>3.9824670687881375E-3</v>
      </c>
      <c r="D22" s="32">
        <v>-1.6194358361142085</v>
      </c>
      <c r="E22" s="32">
        <v>0.11140332606915146</v>
      </c>
      <c r="F22" s="32">
        <v>-1.4440754707187312E-2</v>
      </c>
      <c r="G22" s="32">
        <v>1.5420549325068748E-3</v>
      </c>
      <c r="H22" s="32">
        <v>-1.4440754707187312E-2</v>
      </c>
      <c r="I22" s="32">
        <v>1.5420549325068748E-3</v>
      </c>
    </row>
    <row r="23" spans="1:19" x14ac:dyDescent="0.25">
      <c r="A23" s="32" t="s">
        <v>11</v>
      </c>
      <c r="B23" s="32">
        <v>0</v>
      </c>
      <c r="C23" s="32">
        <v>0</v>
      </c>
      <c r="D23" s="32">
        <v>65535</v>
      </c>
      <c r="E23" s="32" t="e">
        <v>#NUM!</v>
      </c>
      <c r="F23" s="32">
        <v>0</v>
      </c>
      <c r="G23" s="32">
        <v>0</v>
      </c>
      <c r="H23" s="32">
        <v>0</v>
      </c>
      <c r="I23" s="32">
        <v>0</v>
      </c>
    </row>
    <row r="24" spans="1:19" x14ac:dyDescent="0.25">
      <c r="A24" s="32" t="s">
        <v>17</v>
      </c>
      <c r="B24" s="32">
        <v>0</v>
      </c>
      <c r="C24" s="32">
        <v>0</v>
      </c>
      <c r="D24" s="32">
        <v>65535</v>
      </c>
      <c r="E24" s="32" t="e">
        <v>#NUM!</v>
      </c>
      <c r="F24" s="32">
        <v>0</v>
      </c>
      <c r="G24" s="32">
        <v>0</v>
      </c>
      <c r="H24" s="32">
        <v>0</v>
      </c>
      <c r="I24" s="32">
        <v>0</v>
      </c>
    </row>
    <row r="25" spans="1:19" x14ac:dyDescent="0.25">
      <c r="A25" s="32" t="s">
        <v>18</v>
      </c>
      <c r="B25" s="32">
        <v>-1.0605984180900836E-5</v>
      </c>
      <c r="C25" s="32">
        <v>1.2100094671153661E-6</v>
      </c>
      <c r="D25" s="32">
        <v>-8.7652076030324384</v>
      </c>
      <c r="E25" s="32" t="e">
        <v>#NUM!</v>
      </c>
      <c r="F25" s="32">
        <v>-1.3034045812182279E-5</v>
      </c>
      <c r="G25" s="32">
        <v>-8.1779225496193933E-6</v>
      </c>
      <c r="H25" s="32">
        <v>-1.3034045812182279E-5</v>
      </c>
      <c r="I25" s="32">
        <v>-8.1779225496193933E-6</v>
      </c>
    </row>
    <row r="26" spans="1:19" x14ac:dyDescent="0.25">
      <c r="A26" s="32" t="s">
        <v>19</v>
      </c>
      <c r="B26" s="32">
        <v>0</v>
      </c>
      <c r="C26" s="32">
        <v>0</v>
      </c>
      <c r="D26" s="32">
        <v>65535</v>
      </c>
      <c r="E26" s="32" t="e">
        <v>#NUM!</v>
      </c>
      <c r="F26" s="32">
        <v>0</v>
      </c>
      <c r="G26" s="32">
        <v>0</v>
      </c>
      <c r="H26" s="32">
        <v>0</v>
      </c>
      <c r="I26" s="32">
        <v>0</v>
      </c>
    </row>
    <row r="27" spans="1:19" x14ac:dyDescent="0.25">
      <c r="A27" s="32" t="s">
        <v>20</v>
      </c>
      <c r="B27" s="32">
        <v>5.9820716161740018E-3</v>
      </c>
      <c r="C27" s="32">
        <v>3.7465441722172562E-3</v>
      </c>
      <c r="D27" s="32">
        <v>1.5966905343154489</v>
      </c>
      <c r="E27" s="32" t="e">
        <v>#NUM!</v>
      </c>
      <c r="F27" s="32">
        <v>-1.5359192770282347E-3</v>
      </c>
      <c r="G27" s="32">
        <v>1.3500062509376239E-2</v>
      </c>
      <c r="H27" s="32">
        <v>-1.5359192770282347E-3</v>
      </c>
      <c r="I27" s="32">
        <v>1.3500062509376239E-2</v>
      </c>
    </row>
    <row r="28" spans="1:19" ht="15.75" thickBot="1" x14ac:dyDescent="0.3">
      <c r="A28" s="33" t="s">
        <v>21</v>
      </c>
      <c r="B28" s="33">
        <v>-4.2929950142323618E-3</v>
      </c>
      <c r="C28" s="33">
        <v>1.606829289172813E-3</v>
      </c>
      <c r="D28" s="33">
        <v>-2.6717181738966014</v>
      </c>
      <c r="E28" s="33">
        <v>1.005281845298645E-2</v>
      </c>
      <c r="F28" s="33">
        <v>-7.5173338736305266E-3</v>
      </c>
      <c r="G28" s="33">
        <v>-1.0686561548341965E-3</v>
      </c>
      <c r="H28" s="33">
        <v>-7.5173338736305266E-3</v>
      </c>
      <c r="I28" s="33">
        <v>-1.0686561548341965E-3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9"/>
  <sheetViews>
    <sheetView workbookViewId="0">
      <selection activeCell="A18" sqref="A18"/>
    </sheetView>
  </sheetViews>
  <sheetFormatPr defaultRowHeight="15" x14ac:dyDescent="0.25"/>
  <sheetData>
    <row r="1" spans="1:13" x14ac:dyDescent="0.25">
      <c r="A1" t="s">
        <v>112</v>
      </c>
    </row>
    <row r="3" spans="1:13" ht="15.75" x14ac:dyDescent="0.25">
      <c r="A3" t="s">
        <v>113</v>
      </c>
      <c r="B3" t="s">
        <v>114</v>
      </c>
      <c r="C3" t="s">
        <v>115</v>
      </c>
      <c r="D3" t="s">
        <v>116</v>
      </c>
      <c r="E3" t="s">
        <v>117</v>
      </c>
      <c r="F3" t="s">
        <v>118</v>
      </c>
      <c r="G3" t="s">
        <v>119</v>
      </c>
      <c r="H3" t="s">
        <v>120</v>
      </c>
      <c r="I3" t="s">
        <v>121</v>
      </c>
      <c r="J3" t="s">
        <v>122</v>
      </c>
      <c r="K3" t="s">
        <v>123</v>
      </c>
      <c r="L3" t="s">
        <v>124</v>
      </c>
      <c r="M3" s="48" t="s">
        <v>125</v>
      </c>
    </row>
    <row r="4" spans="1:13" ht="15.75" x14ac:dyDescent="0.25">
      <c r="A4" s="47">
        <v>41365</v>
      </c>
      <c r="B4">
        <v>0.06</v>
      </c>
      <c r="C4">
        <v>0.08</v>
      </c>
      <c r="D4">
        <v>0.11</v>
      </c>
      <c r="E4">
        <v>0.14000000000000001</v>
      </c>
      <c r="F4">
        <v>0.23</v>
      </c>
      <c r="G4">
        <v>0.36</v>
      </c>
      <c r="H4">
        <v>0.76</v>
      </c>
      <c r="I4">
        <v>1.23</v>
      </c>
      <c r="J4">
        <v>1.86</v>
      </c>
      <c r="K4">
        <v>2.7</v>
      </c>
      <c r="L4">
        <v>3.08</v>
      </c>
      <c r="M4" s="48">
        <f>(K4+L4)/2</f>
        <v>2.89</v>
      </c>
    </row>
    <row r="5" spans="1:13" ht="15.75" x14ac:dyDescent="0.25">
      <c r="A5" s="47">
        <v>41366</v>
      </c>
      <c r="B5">
        <v>0.06</v>
      </c>
      <c r="C5">
        <v>7.0000000000000007E-2</v>
      </c>
      <c r="D5">
        <v>0.11</v>
      </c>
      <c r="E5">
        <v>0.14000000000000001</v>
      </c>
      <c r="F5">
        <v>0.25</v>
      </c>
      <c r="G5">
        <v>0.36</v>
      </c>
      <c r="H5">
        <v>0.78</v>
      </c>
      <c r="I5">
        <v>1.26</v>
      </c>
      <c r="J5">
        <v>1.88</v>
      </c>
      <c r="K5">
        <v>2.72</v>
      </c>
      <c r="L5">
        <v>3.1</v>
      </c>
      <c r="M5" s="48">
        <f t="shared" ref="M5:M8" si="0">(K5+L5)/2</f>
        <v>2.91</v>
      </c>
    </row>
    <row r="6" spans="1:13" ht="15.75" x14ac:dyDescent="0.25">
      <c r="A6" s="47">
        <v>41367</v>
      </c>
      <c r="B6">
        <v>0.06</v>
      </c>
      <c r="C6">
        <v>0.06</v>
      </c>
      <c r="D6">
        <v>0.1</v>
      </c>
      <c r="E6">
        <v>0.13</v>
      </c>
      <c r="F6">
        <v>0.24</v>
      </c>
      <c r="G6">
        <v>0.34</v>
      </c>
      <c r="H6">
        <v>0.73</v>
      </c>
      <c r="I6">
        <v>1.2</v>
      </c>
      <c r="J6">
        <v>1.83</v>
      </c>
      <c r="K6">
        <v>2.66</v>
      </c>
      <c r="L6">
        <v>3.05</v>
      </c>
      <c r="M6" s="48">
        <f t="shared" si="0"/>
        <v>2.855</v>
      </c>
    </row>
    <row r="7" spans="1:13" ht="15.75" x14ac:dyDescent="0.25">
      <c r="A7" s="47">
        <v>41368</v>
      </c>
      <c r="B7">
        <v>7.0000000000000007E-2</v>
      </c>
      <c r="C7">
        <v>7.0000000000000007E-2</v>
      </c>
      <c r="D7">
        <v>0.1</v>
      </c>
      <c r="E7">
        <v>0.13</v>
      </c>
      <c r="F7">
        <v>0.22</v>
      </c>
      <c r="G7">
        <v>0.33</v>
      </c>
      <c r="H7">
        <v>0.69</v>
      </c>
      <c r="I7">
        <v>1.1499999999999999</v>
      </c>
      <c r="J7">
        <v>1.78</v>
      </c>
      <c r="K7">
        <v>2.6</v>
      </c>
      <c r="L7">
        <v>2.99</v>
      </c>
      <c r="M7" s="48">
        <f t="shared" si="0"/>
        <v>2.7949999999999999</v>
      </c>
    </row>
    <row r="8" spans="1:13" ht="15.75" x14ac:dyDescent="0.25">
      <c r="A8" s="47">
        <v>41369</v>
      </c>
      <c r="B8">
        <v>0.05</v>
      </c>
      <c r="C8">
        <v>7.0000000000000007E-2</v>
      </c>
      <c r="D8">
        <v>0.1</v>
      </c>
      <c r="E8">
        <v>0.13</v>
      </c>
      <c r="F8">
        <v>0.24</v>
      </c>
      <c r="G8">
        <v>0.33</v>
      </c>
      <c r="H8">
        <v>0.68</v>
      </c>
      <c r="I8">
        <v>1.1200000000000001</v>
      </c>
      <c r="J8">
        <v>1.72</v>
      </c>
      <c r="K8">
        <v>2.5</v>
      </c>
      <c r="L8">
        <v>2.87</v>
      </c>
      <c r="M8" s="48">
        <f t="shared" si="0"/>
        <v>2.6850000000000001</v>
      </c>
    </row>
    <row r="9" spans="1:13" ht="23.25" x14ac:dyDescent="0.35">
      <c r="M9" s="49">
        <f>AVERAGE(M4:M8)</f>
        <v>2.8270000000000004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O20"/>
  <sheetViews>
    <sheetView workbookViewId="0">
      <selection activeCell="A18" sqref="A18"/>
    </sheetView>
  </sheetViews>
  <sheetFormatPr defaultRowHeight="15" x14ac:dyDescent="0.25"/>
  <cols>
    <col min="7" max="7" width="18" bestFit="1" customWidth="1"/>
    <col min="8" max="8" width="12.7109375" bestFit="1" customWidth="1"/>
    <col min="11" max="11" width="12" bestFit="1" customWidth="1"/>
  </cols>
  <sheetData>
    <row r="1" spans="1:12" x14ac:dyDescent="0.25">
      <c r="A1" t="s">
        <v>33</v>
      </c>
      <c r="B1" t="s">
        <v>101</v>
      </c>
    </row>
    <row r="2" spans="1:12" x14ac:dyDescent="0.25">
      <c r="A2">
        <v>1.1363636363636365</v>
      </c>
      <c r="B2">
        <v>0.10041898847085717</v>
      </c>
    </row>
    <row r="3" spans="1:12" x14ac:dyDescent="0.25">
      <c r="A3">
        <v>1.8115942028985508</v>
      </c>
      <c r="B3">
        <v>4.9662558222628599E-2</v>
      </c>
      <c r="G3" t="s">
        <v>71</v>
      </c>
    </row>
    <row r="4" spans="1:12" ht="15.75" thickBot="1" x14ac:dyDescent="0.3">
      <c r="A4">
        <v>1.6666666666666667</v>
      </c>
      <c r="B4">
        <v>5.7090328502857168E-2</v>
      </c>
    </row>
    <row r="5" spans="1:12" x14ac:dyDescent="0.25">
      <c r="A5">
        <v>1.0714285714285714</v>
      </c>
      <c r="B5">
        <v>0.10814107808000004</v>
      </c>
      <c r="G5" s="35" t="s">
        <v>72</v>
      </c>
      <c r="H5" s="35"/>
    </row>
    <row r="6" spans="1:12" x14ac:dyDescent="0.25">
      <c r="A6">
        <v>1</v>
      </c>
      <c r="B6">
        <v>0.11603004978285715</v>
      </c>
      <c r="G6" s="32" t="s">
        <v>73</v>
      </c>
      <c r="H6" s="32">
        <v>0.97987209607271952</v>
      </c>
    </row>
    <row r="7" spans="1:12" x14ac:dyDescent="0.25">
      <c r="A7">
        <v>0.9375</v>
      </c>
      <c r="B7">
        <v>0.12930476178285716</v>
      </c>
      <c r="G7" s="32" t="s">
        <v>74</v>
      </c>
      <c r="H7" s="32">
        <v>0.9601493246619448</v>
      </c>
    </row>
    <row r="8" spans="1:12" x14ac:dyDescent="0.25">
      <c r="A8">
        <v>0.88235294117647056</v>
      </c>
      <c r="B8">
        <v>0.13962110939428576</v>
      </c>
      <c r="G8" s="32" t="s">
        <v>75</v>
      </c>
      <c r="H8" s="32">
        <v>0.95350754543893557</v>
      </c>
    </row>
    <row r="9" spans="1:12" x14ac:dyDescent="0.25">
      <c r="A9">
        <v>0.83333333333333337</v>
      </c>
      <c r="B9">
        <v>0.14993745700571431</v>
      </c>
      <c r="G9" s="32" t="s">
        <v>76</v>
      </c>
      <c r="H9" s="32">
        <v>7.8617386182051989E-3</v>
      </c>
    </row>
    <row r="10" spans="1:12" ht="15.75" thickBot="1" x14ac:dyDescent="0.3">
      <c r="G10" s="33" t="s">
        <v>77</v>
      </c>
      <c r="H10" s="33">
        <v>8</v>
      </c>
    </row>
    <row r="12" spans="1:12" ht="15.75" thickBot="1" x14ac:dyDescent="0.3">
      <c r="G12" t="s">
        <v>78</v>
      </c>
    </row>
    <row r="13" spans="1:12" x14ac:dyDescent="0.25">
      <c r="G13" s="34"/>
      <c r="H13" s="34" t="s">
        <v>83</v>
      </c>
      <c r="I13" s="34" t="s">
        <v>84</v>
      </c>
      <c r="J13" s="34" t="s">
        <v>85</v>
      </c>
      <c r="K13" s="34" t="s">
        <v>86</v>
      </c>
      <c r="L13" s="34" t="s">
        <v>87</v>
      </c>
    </row>
    <row r="14" spans="1:12" x14ac:dyDescent="0.25">
      <c r="G14" s="32" t="s">
        <v>79</v>
      </c>
      <c r="H14" s="32">
        <v>1</v>
      </c>
      <c r="I14" s="32">
        <v>8.9349380706444711E-3</v>
      </c>
      <c r="J14" s="32">
        <v>8.9349380706444711E-3</v>
      </c>
      <c r="K14" s="32">
        <v>144.56206573920559</v>
      </c>
      <c r="L14" s="32">
        <v>2.0079661622856913E-5</v>
      </c>
    </row>
    <row r="15" spans="1:12" x14ac:dyDescent="0.25">
      <c r="G15" s="32" t="s">
        <v>80</v>
      </c>
      <c r="H15" s="32">
        <v>6</v>
      </c>
      <c r="I15" s="32">
        <v>3.7084160460587389E-4</v>
      </c>
      <c r="J15" s="32">
        <v>6.1806934100978978E-5</v>
      </c>
      <c r="K15" s="32"/>
      <c r="L15" s="32"/>
    </row>
    <row r="16" spans="1:12" ht="15.75" thickBot="1" x14ac:dyDescent="0.3">
      <c r="G16" s="33" t="s">
        <v>81</v>
      </c>
      <c r="H16" s="33">
        <v>7</v>
      </c>
      <c r="I16" s="33">
        <v>9.3057796752503454E-3</v>
      </c>
      <c r="J16" s="33"/>
      <c r="K16" s="33"/>
      <c r="L16" s="33"/>
    </row>
    <row r="17" spans="7:15" ht="15.75" thickBot="1" x14ac:dyDescent="0.3"/>
    <row r="18" spans="7:15" x14ac:dyDescent="0.25">
      <c r="G18" s="34"/>
      <c r="H18" s="34" t="s">
        <v>88</v>
      </c>
      <c r="I18" s="34" t="s">
        <v>76</v>
      </c>
      <c r="J18" s="34" t="s">
        <v>89</v>
      </c>
      <c r="K18" s="34" t="s">
        <v>90</v>
      </c>
      <c r="L18" s="34" t="s">
        <v>91</v>
      </c>
      <c r="M18" s="34" t="s">
        <v>92</v>
      </c>
      <c r="N18" s="34" t="s">
        <v>93</v>
      </c>
      <c r="O18" s="34" t="s">
        <v>94</v>
      </c>
    </row>
    <row r="19" spans="7:15" x14ac:dyDescent="0.25">
      <c r="G19" s="32" t="s">
        <v>82</v>
      </c>
      <c r="H19" s="32">
        <v>0.21960120933930682</v>
      </c>
      <c r="I19" s="32">
        <v>9.8267075807921545E-3</v>
      </c>
      <c r="J19" s="32">
        <v>22.347384160341957</v>
      </c>
      <c r="K19" s="32">
        <v>5.2520231853424698E-7</v>
      </c>
      <c r="L19" s="32">
        <v>0.19555612210213039</v>
      </c>
      <c r="M19" s="32">
        <v>0.24364629657648326</v>
      </c>
      <c r="N19" s="32">
        <v>0.19555612210213039</v>
      </c>
      <c r="O19" s="32">
        <v>0.24364629657648326</v>
      </c>
    </row>
    <row r="20" spans="7:15" ht="15.75" thickBot="1" x14ac:dyDescent="0.3">
      <c r="G20" s="33" t="s">
        <v>33</v>
      </c>
      <c r="H20" s="33">
        <v>-9.7074644873635943E-2</v>
      </c>
      <c r="I20" s="33">
        <v>8.073812095190076E-3</v>
      </c>
      <c r="J20" s="33">
        <v>-12.023396597434756</v>
      </c>
      <c r="K20" s="33">
        <v>2.0079661622856879E-5</v>
      </c>
      <c r="L20" s="33">
        <v>-0.11683055137327414</v>
      </c>
      <c r="M20" s="33">
        <v>-7.7318738373997747E-2</v>
      </c>
      <c r="N20" s="33">
        <v>-0.11683055137327414</v>
      </c>
      <c r="O20" s="33">
        <v>-7.7318738373997747E-2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"/>
  <sheetViews>
    <sheetView workbookViewId="0">
      <selection activeCell="F24" sqref="F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Predict Your Data</vt:lpstr>
      <vt:lpstr>Data Analysis</vt:lpstr>
      <vt:lpstr>Sheet5</vt:lpstr>
      <vt:lpstr>15yr, by $watt</vt:lpstr>
      <vt:lpstr>yrpayback, by $watt</vt:lpstr>
      <vt:lpstr>15yr w0, by watt</vt:lpstr>
      <vt:lpstr>Sheet2</vt:lpstr>
      <vt:lpstr>Sheet3</vt:lpstr>
      <vt:lpstr>kkk</vt:lpstr>
      <vt:lpstr>Calc of Avg Eff</vt:lpstr>
      <vt:lpstr>Cost Data</vt:lpstr>
      <vt:lpstr>ROI by $watt Analysis</vt:lpstr>
      <vt:lpstr>ROI by Real Output</vt:lpstr>
      <vt:lpstr>Everything</vt:lpstr>
      <vt:lpstr>Sheet7</vt:lpstr>
      <vt:lpstr>Sheet1</vt:lpstr>
      <vt:lpstr>All Other Sheets are Hidden</vt:lpstr>
      <vt:lpstr>'Data Analysis'!Print_Area</vt:lpstr>
      <vt:lpstr>'Predict Your Data'!Print_Area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Ingalls Liska</dc:creator>
  <cp:lastModifiedBy>Luke</cp:lastModifiedBy>
  <cp:lastPrinted>2013-04-07T16:46:10Z</cp:lastPrinted>
  <dcterms:created xsi:type="dcterms:W3CDTF">2012-05-03T20:02:35Z</dcterms:created>
  <dcterms:modified xsi:type="dcterms:W3CDTF">2013-04-24T01:59:18Z</dcterms:modified>
</cp:coreProperties>
</file>