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AD5049AC-5743-4FA8-9C12-0255C9517D4E}" xr6:coauthVersionLast="47" xr6:coauthVersionMax="47" xr10:uidLastSave="{00000000-0000-0000-0000-000000000000}"/>
  <bookViews>
    <workbookView xWindow="6216" yWindow="1752" windowWidth="13416" windowHeight="10800" xr2:uid="{6041DE71-2650-4EBA-9919-A01C8B31A169}"/>
  </bookViews>
  <sheets>
    <sheet name="material" sheetId="1" r:id="rId1"/>
    <sheet name="sizingcosting" sheetId="2" r:id="rId2"/>
    <sheet name="Utilities " sheetId="3" r:id="rId3"/>
  </sheets>
  <calcPr calcId="191028" iterate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Q16" i="2"/>
  <c r="D7" i="3"/>
  <c r="G9" i="2"/>
  <c r="B4" i="3" s="1"/>
  <c r="C4" i="3" s="1"/>
  <c r="D4" i="3" s="1"/>
  <c r="E9" i="2"/>
  <c r="F9" i="2" s="1"/>
  <c r="C9" i="2"/>
  <c r="O9" i="2"/>
  <c r="Q9" i="2" s="1"/>
  <c r="B35" i="2"/>
  <c r="B32" i="2"/>
  <c r="G2" i="2"/>
  <c r="D3" i="3"/>
  <c r="D5" i="3"/>
  <c r="D6" i="3" s="1"/>
  <c r="D2" i="3"/>
  <c r="C3" i="3"/>
  <c r="C5" i="3"/>
  <c r="C2" i="3"/>
  <c r="M15" i="2"/>
  <c r="O15" i="2" s="1"/>
  <c r="D15" i="2"/>
  <c r="D6" i="1"/>
  <c r="M12" i="2"/>
  <c r="O12" i="2" s="1"/>
  <c r="O13" i="2" s="1"/>
  <c r="O6" i="2"/>
  <c r="Q6" i="2" s="1"/>
  <c r="Q7" i="2" s="1"/>
  <c r="D6" i="2"/>
  <c r="E6" i="2" s="1"/>
  <c r="O3" i="2"/>
  <c r="Q3" i="2" s="1"/>
  <c r="O2" i="2"/>
  <c r="Q2" i="2" s="1"/>
  <c r="G3" i="2"/>
  <c r="B6" i="1"/>
  <c r="H23" i="1"/>
  <c r="B24" i="1"/>
  <c r="B23" i="1"/>
  <c r="B21" i="1"/>
  <c r="B20" i="1"/>
  <c r="B16" i="1"/>
  <c r="B14" i="1"/>
  <c r="B7" i="1"/>
  <c r="Q4" i="2" l="1"/>
</calcChain>
</file>

<file path=xl/sharedStrings.xml><?xml version="1.0" encoding="utf-8"?>
<sst xmlns="http://schemas.openxmlformats.org/spreadsheetml/2006/main" count="189" uniqueCount="95">
  <si>
    <t>density water</t>
  </si>
  <si>
    <t>kg/m3</t>
  </si>
  <si>
    <t>density xanthan gum</t>
  </si>
  <si>
    <t>mixed density 2.5%XG</t>
  </si>
  <si>
    <t>Diameter Impeller, exp</t>
  </si>
  <si>
    <t>m</t>
  </si>
  <si>
    <t>dia imp to dia tank, exp</t>
  </si>
  <si>
    <t>ratio</t>
  </si>
  <si>
    <t>36 hr/batch</t>
  </si>
  <si>
    <t>Scale up 36 hour</t>
  </si>
  <si>
    <t xml:space="preserve">L/batch </t>
  </si>
  <si>
    <t>L/hr</t>
  </si>
  <si>
    <t>Tank size upscale</t>
  </si>
  <si>
    <t>m3</t>
  </si>
  <si>
    <t>Tank diameter</t>
  </si>
  <si>
    <t>Tank height</t>
  </si>
  <si>
    <t>Using D/T, dia imp, scaled</t>
  </si>
  <si>
    <t>rpm exp</t>
  </si>
  <si>
    <t>rpm</t>
  </si>
  <si>
    <t>Tip speed= (imp dia)m*(rpm)*3.14</t>
  </si>
  <si>
    <t>tip speed exp</t>
  </si>
  <si>
    <t>m/min</t>
  </si>
  <si>
    <t>tip speed scaled</t>
  </si>
  <si>
    <t xml:space="preserve">new rpm scaled </t>
  </si>
  <si>
    <t>Power = Np*rho*dia^5*(rps)^3</t>
  </si>
  <si>
    <t>Np</t>
  </si>
  <si>
    <t>unknown 1.5 assumption</t>
  </si>
  <si>
    <t>Power scaled</t>
  </si>
  <si>
    <t>W</t>
  </si>
  <si>
    <t>kW</t>
  </si>
  <si>
    <t>hp</t>
  </si>
  <si>
    <t>assume 150 max hp</t>
  </si>
  <si>
    <t xml:space="preserve">chemostats </t>
  </si>
  <si>
    <t xml:space="preserve">each chemostat resonsible for </t>
  </si>
  <si>
    <t>L of the batch</t>
  </si>
  <si>
    <t>assuming downtimes</t>
  </si>
  <si>
    <t>total</t>
  </si>
  <si>
    <t>Pumps</t>
  </si>
  <si>
    <t>Q m3/h</t>
  </si>
  <si>
    <t>row kg/m3</t>
  </si>
  <si>
    <t>g m/s2</t>
  </si>
  <si>
    <t>deltah m</t>
  </si>
  <si>
    <t>Fm</t>
  </si>
  <si>
    <t>Fp</t>
  </si>
  <si>
    <t>Fbma</t>
  </si>
  <si>
    <t>Cp</t>
  </si>
  <si>
    <t>Cbm</t>
  </si>
  <si>
    <t>inflation</t>
  </si>
  <si>
    <t>Total</t>
  </si>
  <si>
    <t>P-101A/B</t>
  </si>
  <si>
    <t>Chemostat Feed</t>
  </si>
  <si>
    <t>P-102A/B</t>
  </si>
  <si>
    <t>Chemostat Exit</t>
  </si>
  <si>
    <t>Total (2)</t>
  </si>
  <si>
    <t>Reactors</t>
  </si>
  <si>
    <t>L</t>
  </si>
  <si>
    <t>80% full L</t>
  </si>
  <si>
    <t>m^3</t>
  </si>
  <si>
    <t>Height</t>
  </si>
  <si>
    <t>diameter</t>
  </si>
  <si>
    <t>V-101-120</t>
  </si>
  <si>
    <t>Chemostats</t>
  </si>
  <si>
    <t>Total (16)</t>
  </si>
  <si>
    <t>Mixer</t>
  </si>
  <si>
    <t>Fbm</t>
  </si>
  <si>
    <t>M-101-120</t>
  </si>
  <si>
    <t>Chemostat mixer</t>
  </si>
  <si>
    <t>Tank</t>
  </si>
  <si>
    <t>1 batch L</t>
  </si>
  <si>
    <t>TK-101</t>
  </si>
  <si>
    <t>Holding before UF</t>
  </si>
  <si>
    <t xml:space="preserve">Electricity </t>
  </si>
  <si>
    <t>kWh</t>
  </si>
  <si>
    <t>$/year</t>
  </si>
  <si>
    <t>P-101</t>
  </si>
  <si>
    <t>P-102</t>
  </si>
  <si>
    <t>M101-116</t>
  </si>
  <si>
    <t>Dryer</t>
  </si>
  <si>
    <t>DR-101</t>
  </si>
  <si>
    <t>m (kg/h)</t>
  </si>
  <si>
    <t>Gum (kg/h)</t>
  </si>
  <si>
    <t>V-101-116</t>
  </si>
  <si>
    <t>M-101-116</t>
  </si>
  <si>
    <t>Yearly XG Production</t>
  </si>
  <si>
    <t>MT/year</t>
  </si>
  <si>
    <t>Hourly XG Production</t>
  </si>
  <si>
    <t>kg/hr</t>
  </si>
  <si>
    <t>Operation Days/year</t>
  </si>
  <si>
    <t>days</t>
  </si>
  <si>
    <t>Hours/Operation Day</t>
  </si>
  <si>
    <t>Hours/Year</t>
  </si>
  <si>
    <t>hours</t>
  </si>
  <si>
    <t>Power (kW)</t>
  </si>
  <si>
    <t>Spray dry after wash</t>
  </si>
  <si>
    <t>Vol (L/h)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</si>
</sst>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44" fontId="0" fillId="0" borderId="0" xfId="1" applyFont="1"/>
    <xf numFmtId="44" fontId="0" fillId="0" borderId="0" xfId="0" applyNumberFormat="1"/>
    <xf numFmtId="0" fontId="0" fillId="0" borderId="1" xfId="0" applyBorder="1"/>
    <xf numFmtId="44" fontId="0" fillId="0" borderId="1" xfId="1" applyFont="1" applyBorder="1"/>
    <xf numFmtId="11" fontId="0" fillId="0" borderId="1" xfId="0" applyNumberFormat="1" applyBorder="1"/>
    <xf numFmtId="44" fontId="0" fillId="0" borderId="1" xfId="0" applyNumberFormat="1" applyBorder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1DD7-0028-4741-98C1-57333D59E869}">
  <dimension ref="A1:I25"/>
  <sheetViews>
    <sheetView tabSelected="1" workbookViewId="0">
      <selection activeCell="E11" sqref="E11"/>
    </sheetView>
  </sheetViews>
  <sheetFormatPr defaultRowHeight="14.4" x14ac:dyDescent="0.3"/>
  <cols>
    <col min="1" max="1" width="22" customWidth="1"/>
    <col min="2" max="2" width="11.88671875" bestFit="1" customWidth="1"/>
  </cols>
  <sheetData>
    <row r="1" spans="1:5" x14ac:dyDescent="0.3">
      <c r="A1" t="s">
        <v>0</v>
      </c>
      <c r="B1">
        <v>1000</v>
      </c>
      <c r="C1" t="s">
        <v>1</v>
      </c>
    </row>
    <row r="2" spans="1:5" x14ac:dyDescent="0.3">
      <c r="A2" t="s">
        <v>2</v>
      </c>
      <c r="B2">
        <v>1500</v>
      </c>
      <c r="C2" t="s">
        <v>1</v>
      </c>
    </row>
    <row r="3" spans="1:5" x14ac:dyDescent="0.3">
      <c r="A3" t="s">
        <v>3</v>
      </c>
      <c r="B3">
        <v>1008</v>
      </c>
      <c r="C3" t="s">
        <v>1</v>
      </c>
    </row>
    <row r="4" spans="1:5" x14ac:dyDescent="0.3">
      <c r="A4" t="s">
        <v>4</v>
      </c>
      <c r="B4">
        <v>0.42</v>
      </c>
      <c r="C4" t="s">
        <v>5</v>
      </c>
    </row>
    <row r="5" spans="1:5" x14ac:dyDescent="0.3">
      <c r="A5" t="s">
        <v>6</v>
      </c>
      <c r="B5">
        <v>0.42</v>
      </c>
      <c r="C5" t="s">
        <v>7</v>
      </c>
      <c r="D5" t="s">
        <v>8</v>
      </c>
    </row>
    <row r="6" spans="1:5" x14ac:dyDescent="0.3">
      <c r="A6" t="s">
        <v>9</v>
      </c>
      <c r="B6" s="1">
        <f>24800*36</f>
        <v>892800</v>
      </c>
      <c r="C6" t="s">
        <v>10</v>
      </c>
      <c r="D6">
        <f>B6/36</f>
        <v>24800</v>
      </c>
      <c r="E6" t="s">
        <v>11</v>
      </c>
    </row>
    <row r="7" spans="1:5" x14ac:dyDescent="0.3">
      <c r="A7" t="s">
        <v>12</v>
      </c>
      <c r="B7">
        <f>B6/1000</f>
        <v>892.8</v>
      </c>
      <c r="C7" t="s">
        <v>13</v>
      </c>
    </row>
    <row r="8" spans="1:5" x14ac:dyDescent="0.3">
      <c r="A8" t="s">
        <v>14</v>
      </c>
      <c r="B8">
        <v>10</v>
      </c>
    </row>
    <row r="9" spans="1:5" x14ac:dyDescent="0.3">
      <c r="A9" t="s">
        <v>15</v>
      </c>
      <c r="B9">
        <v>11.5</v>
      </c>
    </row>
    <row r="10" spans="1:5" x14ac:dyDescent="0.3">
      <c r="A10" t="s">
        <v>16</v>
      </c>
      <c r="B10">
        <v>4.2</v>
      </c>
      <c r="C10" t="s">
        <v>5</v>
      </c>
    </row>
    <row r="11" spans="1:5" x14ac:dyDescent="0.3">
      <c r="A11" t="s">
        <v>17</v>
      </c>
      <c r="B11">
        <v>550</v>
      </c>
      <c r="C11" t="s">
        <v>18</v>
      </c>
    </row>
    <row r="13" spans="1:5" x14ac:dyDescent="0.3">
      <c r="A13" t="s">
        <v>19</v>
      </c>
    </row>
    <row r="14" spans="1:5" x14ac:dyDescent="0.3">
      <c r="A14" t="s">
        <v>20</v>
      </c>
      <c r="B14">
        <f>B4*3.14*B11</f>
        <v>725.34</v>
      </c>
      <c r="C14" t="s">
        <v>21</v>
      </c>
    </row>
    <row r="15" spans="1:5" x14ac:dyDescent="0.3">
      <c r="A15" t="s">
        <v>22</v>
      </c>
      <c r="B15">
        <v>725.34</v>
      </c>
    </row>
    <row r="16" spans="1:5" x14ac:dyDescent="0.3">
      <c r="A16" t="s">
        <v>23</v>
      </c>
      <c r="B16">
        <f>B15/3.14/4.2</f>
        <v>55</v>
      </c>
      <c r="C16" t="s">
        <v>18</v>
      </c>
    </row>
    <row r="18" spans="1:9" x14ac:dyDescent="0.3">
      <c r="A18" t="s">
        <v>24</v>
      </c>
    </row>
    <row r="19" spans="1:9" x14ac:dyDescent="0.3">
      <c r="A19" t="s">
        <v>25</v>
      </c>
      <c r="B19" t="s">
        <v>26</v>
      </c>
    </row>
    <row r="20" spans="1:9" x14ac:dyDescent="0.3">
      <c r="A20" t="s">
        <v>27</v>
      </c>
      <c r="B20">
        <f>1.5*B3*B10^5*(B16/60)^3</f>
        <v>1522062.7606800001</v>
      </c>
      <c r="C20" t="s">
        <v>28</v>
      </c>
    </row>
    <row r="21" spans="1:9" x14ac:dyDescent="0.3">
      <c r="B21">
        <f>B20/1000</f>
        <v>1522.0627606800001</v>
      </c>
      <c r="C21" t="s">
        <v>29</v>
      </c>
    </row>
    <row r="22" spans="1:9" x14ac:dyDescent="0.3">
      <c r="B22">
        <v>2069.5</v>
      </c>
      <c r="C22" t="s">
        <v>30</v>
      </c>
    </row>
    <row r="23" spans="1:9" x14ac:dyDescent="0.3">
      <c r="A23" t="s">
        <v>31</v>
      </c>
      <c r="B23">
        <f>B22/150</f>
        <v>13.796666666666667</v>
      </c>
      <c r="C23" t="s">
        <v>32</v>
      </c>
      <c r="E23" t="s">
        <v>33</v>
      </c>
      <c r="H23">
        <f>B6/14</f>
        <v>63771.428571428572</v>
      </c>
      <c r="I23" t="s">
        <v>34</v>
      </c>
    </row>
    <row r="24" spans="1:9" x14ac:dyDescent="0.3">
      <c r="A24" t="s">
        <v>35</v>
      </c>
      <c r="B24">
        <f>B23*1.33</f>
        <v>18.349566666666668</v>
      </c>
      <c r="C24" t="s">
        <v>32</v>
      </c>
    </row>
    <row r="25" spans="1:9" x14ac:dyDescent="0.3">
      <c r="B25">
        <v>19</v>
      </c>
      <c r="C25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A50D-6E08-443D-B17B-E2137A31433A}">
  <dimension ref="A1:Q35"/>
  <sheetViews>
    <sheetView topLeftCell="I1" workbookViewId="0">
      <selection activeCell="Q16" sqref="Q16"/>
    </sheetView>
  </sheetViews>
  <sheetFormatPr defaultRowHeight="14.4" x14ac:dyDescent="0.3"/>
  <cols>
    <col min="1" max="1" width="10" bestFit="1" customWidth="1"/>
    <col min="2" max="2" width="17.21875" customWidth="1"/>
    <col min="3" max="3" width="11.109375" bestFit="1" customWidth="1"/>
    <col min="4" max="4" width="9.88671875" bestFit="1" customWidth="1"/>
    <col min="5" max="5" width="12.109375" bestFit="1" customWidth="1"/>
    <col min="6" max="6" width="11.109375" bestFit="1" customWidth="1"/>
    <col min="7" max="7" width="13.6640625" bestFit="1" customWidth="1"/>
    <col min="9" max="9" width="15.33203125" customWidth="1"/>
    <col min="10" max="10" width="14.5546875" customWidth="1"/>
    <col min="15" max="15" width="13.5546875" bestFit="1" customWidth="1"/>
    <col min="17" max="17" width="15.5546875" bestFit="1" customWidth="1"/>
  </cols>
  <sheetData>
    <row r="1" spans="1:17" x14ac:dyDescent="0.3">
      <c r="A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92</v>
      </c>
      <c r="I1" s="4" t="s">
        <v>37</v>
      </c>
      <c r="J1" s="4"/>
      <c r="K1" s="4" t="s">
        <v>42</v>
      </c>
      <c r="L1" s="4" t="s">
        <v>43</v>
      </c>
      <c r="M1" s="4" t="s">
        <v>44</v>
      </c>
      <c r="N1" s="4" t="s">
        <v>45</v>
      </c>
      <c r="O1" s="4" t="s">
        <v>46</v>
      </c>
      <c r="P1" s="4" t="s">
        <v>47</v>
      </c>
      <c r="Q1" s="5" t="s">
        <v>48</v>
      </c>
    </row>
    <row r="2" spans="1:17" x14ac:dyDescent="0.3">
      <c r="A2" t="s">
        <v>49</v>
      </c>
      <c r="B2" t="s">
        <v>50</v>
      </c>
      <c r="C2">
        <v>142</v>
      </c>
      <c r="D2">
        <v>1000</v>
      </c>
      <c r="E2">
        <v>9.81</v>
      </c>
      <c r="F2">
        <v>30</v>
      </c>
      <c r="G2">
        <f>(C2*D2*E2*F2)/3600000</f>
        <v>11.608499999999999</v>
      </c>
      <c r="I2" s="4" t="s">
        <v>49</v>
      </c>
      <c r="J2" s="4" t="s">
        <v>50</v>
      </c>
      <c r="K2" s="4">
        <v>1.4</v>
      </c>
      <c r="L2" s="4">
        <v>1</v>
      </c>
      <c r="M2" s="4">
        <v>4</v>
      </c>
      <c r="N2" s="6">
        <v>10000</v>
      </c>
      <c r="O2" s="6">
        <f>N2*M2</f>
        <v>40000</v>
      </c>
      <c r="P2" s="4">
        <v>2.0775000000000001</v>
      </c>
      <c r="Q2" s="5">
        <f>P2*O2</f>
        <v>83100</v>
      </c>
    </row>
    <row r="3" spans="1:17" x14ac:dyDescent="0.3">
      <c r="A3" t="s">
        <v>51</v>
      </c>
      <c r="B3" t="s">
        <v>52</v>
      </c>
      <c r="C3">
        <v>142</v>
      </c>
      <c r="D3">
        <v>1008</v>
      </c>
      <c r="E3">
        <v>9.81</v>
      </c>
      <c r="F3">
        <v>30</v>
      </c>
      <c r="G3">
        <f>(C3*D3*E3*F3)/3600000</f>
        <v>11.701368</v>
      </c>
      <c r="I3" s="4" t="s">
        <v>51</v>
      </c>
      <c r="J3" s="4" t="s">
        <v>52</v>
      </c>
      <c r="K3" s="4">
        <v>1.4</v>
      </c>
      <c r="L3" s="4">
        <v>1</v>
      </c>
      <c r="M3" s="4">
        <v>4</v>
      </c>
      <c r="N3" s="6">
        <v>10000</v>
      </c>
      <c r="O3" s="6">
        <f>N3*M3</f>
        <v>40000</v>
      </c>
      <c r="P3" s="4">
        <v>2.0775000000000001</v>
      </c>
      <c r="Q3" s="5">
        <f>P3*O3</f>
        <v>83100</v>
      </c>
    </row>
    <row r="4" spans="1:17" x14ac:dyDescent="0.3">
      <c r="P4" s="4" t="s">
        <v>53</v>
      </c>
      <c r="Q4" s="5">
        <f>(Q2+Q3)*2</f>
        <v>332400</v>
      </c>
    </row>
    <row r="5" spans="1:17" x14ac:dyDescent="0.3">
      <c r="A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I5" s="4" t="s">
        <v>54</v>
      </c>
      <c r="J5" s="4"/>
      <c r="K5" s="4" t="s">
        <v>45</v>
      </c>
      <c r="L5" s="4" t="s">
        <v>42</v>
      </c>
      <c r="M5" s="4" t="s">
        <v>43</v>
      </c>
      <c r="N5" s="4" t="s">
        <v>44</v>
      </c>
      <c r="O5" s="4" t="s">
        <v>46</v>
      </c>
      <c r="P5" s="4" t="s">
        <v>47</v>
      </c>
      <c r="Q5" s="4" t="s">
        <v>48</v>
      </c>
    </row>
    <row r="6" spans="1:17" x14ac:dyDescent="0.3">
      <c r="A6" t="s">
        <v>81</v>
      </c>
      <c r="B6" t="s">
        <v>61</v>
      </c>
      <c r="C6" s="1">
        <v>74400</v>
      </c>
      <c r="D6">
        <f>C6/0.8</f>
        <v>93000</v>
      </c>
      <c r="E6">
        <f>D6/1000</f>
        <v>93</v>
      </c>
      <c r="F6">
        <v>30</v>
      </c>
      <c r="G6">
        <v>2</v>
      </c>
      <c r="I6" s="4" t="s">
        <v>60</v>
      </c>
      <c r="J6" s="4" t="s">
        <v>61</v>
      </c>
      <c r="K6" s="6">
        <v>60000</v>
      </c>
      <c r="L6" s="4">
        <v>1</v>
      </c>
      <c r="M6" s="4">
        <v>1.2</v>
      </c>
      <c r="N6" s="4">
        <v>4.5</v>
      </c>
      <c r="O6" s="6">
        <f>K6*N6</f>
        <v>270000</v>
      </c>
      <c r="P6" s="4">
        <v>2.0775000000000001</v>
      </c>
      <c r="Q6" s="5">
        <f>O6*P6</f>
        <v>560925</v>
      </c>
    </row>
    <row r="7" spans="1:17" x14ac:dyDescent="0.3">
      <c r="P7" s="4" t="s">
        <v>62</v>
      </c>
      <c r="Q7" s="5">
        <f>Q6*16</f>
        <v>8974800</v>
      </c>
    </row>
    <row r="8" spans="1:17" x14ac:dyDescent="0.3">
      <c r="A8" t="s">
        <v>77</v>
      </c>
      <c r="C8" t="s">
        <v>79</v>
      </c>
      <c r="D8" t="s">
        <v>80</v>
      </c>
      <c r="E8" t="s">
        <v>94</v>
      </c>
      <c r="F8" t="s">
        <v>56</v>
      </c>
      <c r="G8" t="s">
        <v>92</v>
      </c>
      <c r="I8" s="4" t="s">
        <v>77</v>
      </c>
      <c r="M8" s="4" t="s">
        <v>44</v>
      </c>
      <c r="N8" s="4" t="s">
        <v>45</v>
      </c>
      <c r="O8" s="4" t="s">
        <v>46</v>
      </c>
      <c r="P8" s="4" t="s">
        <v>47</v>
      </c>
      <c r="Q8" s="5" t="s">
        <v>48</v>
      </c>
    </row>
    <row r="9" spans="1:17" x14ac:dyDescent="0.3">
      <c r="A9" t="s">
        <v>78</v>
      </c>
      <c r="B9" t="s">
        <v>93</v>
      </c>
      <c r="C9">
        <f>2*2498</f>
        <v>4996</v>
      </c>
      <c r="D9">
        <v>654</v>
      </c>
      <c r="E9">
        <f>2*2604</f>
        <v>5208</v>
      </c>
      <c r="F9">
        <f>E9/0.8</f>
        <v>6510</v>
      </c>
      <c r="G9">
        <f>D9*9*100000/(3600*1000)</f>
        <v>163.5</v>
      </c>
      <c r="I9" s="4" t="s">
        <v>78</v>
      </c>
      <c r="J9" t="s">
        <v>93</v>
      </c>
      <c r="M9" s="4">
        <v>2.7</v>
      </c>
      <c r="N9" s="6">
        <v>240000</v>
      </c>
      <c r="O9" s="6">
        <f>N9*M9</f>
        <v>648000</v>
      </c>
      <c r="P9" s="4">
        <v>2.0775000000000001</v>
      </c>
      <c r="Q9" s="5">
        <f>P9*O9</f>
        <v>1346220</v>
      </c>
    </row>
    <row r="11" spans="1:17" x14ac:dyDescent="0.3">
      <c r="A11" t="s">
        <v>63</v>
      </c>
      <c r="C11" t="s">
        <v>29</v>
      </c>
      <c r="I11" s="4" t="s">
        <v>63</v>
      </c>
      <c r="J11" s="4"/>
      <c r="K11" s="4" t="s">
        <v>45</v>
      </c>
      <c r="L11" s="4" t="s">
        <v>64</v>
      </c>
      <c r="M11" s="4" t="s">
        <v>46</v>
      </c>
      <c r="N11" s="4" t="s">
        <v>47</v>
      </c>
      <c r="O11" s="4" t="s">
        <v>36</v>
      </c>
    </row>
    <row r="12" spans="1:17" x14ac:dyDescent="0.3">
      <c r="A12" t="s">
        <v>82</v>
      </c>
      <c r="B12" t="s">
        <v>66</v>
      </c>
      <c r="C12">
        <v>60.8</v>
      </c>
      <c r="I12" s="4" t="s">
        <v>65</v>
      </c>
      <c r="J12" s="4" t="s">
        <v>66</v>
      </c>
      <c r="K12" s="6">
        <v>60000</v>
      </c>
      <c r="L12" s="4">
        <v>2</v>
      </c>
      <c r="M12" s="6">
        <f>K12*2</f>
        <v>120000</v>
      </c>
      <c r="N12" s="4">
        <v>2.0775000000000001</v>
      </c>
      <c r="O12" s="5">
        <f>M12*N12</f>
        <v>249300.00000000003</v>
      </c>
    </row>
    <row r="13" spans="1:17" x14ac:dyDescent="0.3">
      <c r="N13" s="4" t="s">
        <v>62</v>
      </c>
      <c r="O13" s="5">
        <f>O12*16</f>
        <v>3988800.0000000005</v>
      </c>
    </row>
    <row r="14" spans="1:17" x14ac:dyDescent="0.3">
      <c r="A14" t="s">
        <v>67</v>
      </c>
      <c r="C14" t="s">
        <v>68</v>
      </c>
      <c r="D14" t="s">
        <v>13</v>
      </c>
      <c r="I14" s="4" t="s">
        <v>67</v>
      </c>
      <c r="J14" s="4"/>
      <c r="K14" s="4" t="s">
        <v>45</v>
      </c>
      <c r="L14" s="4" t="s">
        <v>64</v>
      </c>
      <c r="M14" s="4" t="s">
        <v>46</v>
      </c>
      <c r="N14" s="4" t="s">
        <v>47</v>
      </c>
      <c r="O14" s="4" t="s">
        <v>36</v>
      </c>
    </row>
    <row r="15" spans="1:17" x14ac:dyDescent="0.3">
      <c r="A15" t="s">
        <v>69</v>
      </c>
      <c r="B15" t="s">
        <v>70</v>
      </c>
      <c r="C15" s="1">
        <v>892000</v>
      </c>
      <c r="D15">
        <f>C15/1000</f>
        <v>892</v>
      </c>
      <c r="I15" s="4" t="s">
        <v>69</v>
      </c>
      <c r="J15" s="4" t="s">
        <v>70</v>
      </c>
      <c r="K15" s="6">
        <v>50000</v>
      </c>
      <c r="L15" s="4">
        <v>2.1</v>
      </c>
      <c r="M15" s="6">
        <f>K15*L15</f>
        <v>105000</v>
      </c>
      <c r="N15" s="4">
        <v>2.0775000000000001</v>
      </c>
      <c r="O15" s="5">
        <f>M15*N15</f>
        <v>218137.5</v>
      </c>
    </row>
    <row r="16" spans="1:17" x14ac:dyDescent="0.3">
      <c r="P16" s="4" t="s">
        <v>36</v>
      </c>
      <c r="Q16" s="7">
        <f>Q4+Q7+O13+O15+Q9</f>
        <v>14860357.5</v>
      </c>
    </row>
    <row r="17" spans="1:9" x14ac:dyDescent="0.3">
      <c r="A17" t="s">
        <v>37</v>
      </c>
      <c r="C17" t="s">
        <v>42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s="3" t="s">
        <v>48</v>
      </c>
    </row>
    <row r="18" spans="1:9" x14ac:dyDescent="0.3">
      <c r="A18" t="s">
        <v>49</v>
      </c>
      <c r="B18" t="s">
        <v>50</v>
      </c>
      <c r="C18">
        <v>1.4</v>
      </c>
      <c r="D18">
        <v>1</v>
      </c>
      <c r="E18">
        <v>4</v>
      </c>
      <c r="F18" s="2">
        <v>10000</v>
      </c>
      <c r="G18" s="2">
        <v>40000</v>
      </c>
      <c r="H18">
        <v>2.0775000000000001</v>
      </c>
      <c r="I18" s="3">
        <v>83100</v>
      </c>
    </row>
    <row r="19" spans="1:9" x14ac:dyDescent="0.3">
      <c r="A19" t="s">
        <v>51</v>
      </c>
      <c r="B19" t="s">
        <v>52</v>
      </c>
      <c r="C19">
        <v>1.4</v>
      </c>
      <c r="D19">
        <v>1</v>
      </c>
      <c r="E19">
        <v>4</v>
      </c>
      <c r="F19" s="2">
        <v>10000</v>
      </c>
      <c r="G19" s="2">
        <v>40000</v>
      </c>
      <c r="H19">
        <v>2.0775000000000001</v>
      </c>
      <c r="I19" s="3">
        <v>83100</v>
      </c>
    </row>
    <row r="20" spans="1:9" x14ac:dyDescent="0.3">
      <c r="H20" t="s">
        <v>53</v>
      </c>
      <c r="I20" s="3">
        <v>332400</v>
      </c>
    </row>
    <row r="21" spans="1:9" x14ac:dyDescent="0.3">
      <c r="A21" t="s">
        <v>54</v>
      </c>
      <c r="C21" t="s">
        <v>45</v>
      </c>
      <c r="D21" t="s">
        <v>42</v>
      </c>
      <c r="E21" t="s">
        <v>43</v>
      </c>
      <c r="F21" t="s">
        <v>44</v>
      </c>
      <c r="G21" t="s">
        <v>46</v>
      </c>
      <c r="H21" t="s">
        <v>47</v>
      </c>
      <c r="I21" t="s">
        <v>48</v>
      </c>
    </row>
    <row r="22" spans="1:9" x14ac:dyDescent="0.3">
      <c r="A22" t="s">
        <v>60</v>
      </c>
      <c r="B22" t="s">
        <v>61</v>
      </c>
      <c r="C22" s="2">
        <v>60000</v>
      </c>
      <c r="D22">
        <v>1</v>
      </c>
      <c r="E22">
        <v>1.2</v>
      </c>
      <c r="F22">
        <v>4.5</v>
      </c>
      <c r="G22" s="2">
        <v>270000</v>
      </c>
      <c r="H22">
        <v>2.0775000000000001</v>
      </c>
      <c r="I22" s="3">
        <v>560925</v>
      </c>
    </row>
    <row r="23" spans="1:9" x14ac:dyDescent="0.3">
      <c r="H23" t="s">
        <v>62</v>
      </c>
      <c r="I23" s="3">
        <v>8974800</v>
      </c>
    </row>
    <row r="24" spans="1:9" x14ac:dyDescent="0.3">
      <c r="A24" t="s">
        <v>63</v>
      </c>
      <c r="C24" t="s">
        <v>45</v>
      </c>
      <c r="D24" t="s">
        <v>64</v>
      </c>
      <c r="E24" t="s">
        <v>46</v>
      </c>
      <c r="F24" t="s">
        <v>47</v>
      </c>
      <c r="G24" t="s">
        <v>36</v>
      </c>
    </row>
    <row r="25" spans="1:9" x14ac:dyDescent="0.3">
      <c r="A25" t="s">
        <v>65</v>
      </c>
      <c r="B25" t="s">
        <v>66</v>
      </c>
      <c r="C25" s="2">
        <v>60000</v>
      </c>
      <c r="D25">
        <v>2</v>
      </c>
      <c r="E25" s="2">
        <v>120000</v>
      </c>
      <c r="F25">
        <v>2.0775000000000001</v>
      </c>
      <c r="G25" s="3">
        <v>249300.00000000003</v>
      </c>
    </row>
    <row r="26" spans="1:9" x14ac:dyDescent="0.3">
      <c r="F26" t="s">
        <v>62</v>
      </c>
      <c r="G26" s="3">
        <v>3988800.0000000005</v>
      </c>
    </row>
    <row r="27" spans="1:9" x14ac:dyDescent="0.3">
      <c r="A27" t="s">
        <v>67</v>
      </c>
      <c r="C27" t="s">
        <v>45</v>
      </c>
      <c r="D27" t="s">
        <v>64</v>
      </c>
      <c r="E27" t="s">
        <v>46</v>
      </c>
      <c r="F27" t="s">
        <v>47</v>
      </c>
      <c r="G27" t="s">
        <v>36</v>
      </c>
    </row>
    <row r="28" spans="1:9" x14ac:dyDescent="0.3">
      <c r="A28" t="s">
        <v>69</v>
      </c>
      <c r="B28" t="s">
        <v>70</v>
      </c>
      <c r="C28" s="2">
        <v>50000</v>
      </c>
      <c r="D28">
        <v>2.1</v>
      </c>
      <c r="E28" s="2">
        <v>105000</v>
      </c>
      <c r="F28">
        <v>2.0775000000000001</v>
      </c>
      <c r="G28" s="3">
        <v>218137.5</v>
      </c>
    </row>
    <row r="29" spans="1:9" x14ac:dyDescent="0.3">
      <c r="H29" t="s">
        <v>36</v>
      </c>
      <c r="I29" s="3">
        <v>13514137.5</v>
      </c>
    </row>
    <row r="31" spans="1:9" x14ac:dyDescent="0.3">
      <c r="A31" t="s">
        <v>83</v>
      </c>
      <c r="B31">
        <v>5000</v>
      </c>
      <c r="C31" t="s">
        <v>84</v>
      </c>
    </row>
    <row r="32" spans="1:9" x14ac:dyDescent="0.3">
      <c r="A32" t="s">
        <v>85</v>
      </c>
      <c r="B32" s="8">
        <f>(B31-1000)/(B34*B33)</f>
        <v>0.50050050050050054</v>
      </c>
      <c r="C32" t="s">
        <v>86</v>
      </c>
    </row>
    <row r="33" spans="1:3" x14ac:dyDescent="0.3">
      <c r="A33" t="s">
        <v>87</v>
      </c>
      <c r="B33">
        <v>333</v>
      </c>
      <c r="C33" t="s">
        <v>88</v>
      </c>
    </row>
    <row r="34" spans="1:3" x14ac:dyDescent="0.3">
      <c r="A34" t="s">
        <v>89</v>
      </c>
      <c r="B34">
        <v>24</v>
      </c>
      <c r="C34" t="s">
        <v>91</v>
      </c>
    </row>
    <row r="35" spans="1:3" x14ac:dyDescent="0.3">
      <c r="A35" t="s">
        <v>90</v>
      </c>
      <c r="B35">
        <f>B34*B33</f>
        <v>7992</v>
      </c>
      <c r="C35" t="s">
        <v>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871C9-48B5-4DCB-9602-361E2AF98698}">
  <dimension ref="A1:D10"/>
  <sheetViews>
    <sheetView workbookViewId="0">
      <selection activeCell="C7" sqref="C7"/>
    </sheetView>
  </sheetViews>
  <sheetFormatPr defaultRowHeight="14.4" x14ac:dyDescent="0.3"/>
  <cols>
    <col min="1" max="1" width="9.5546875" customWidth="1"/>
    <col min="4" max="4" width="14.6640625" bestFit="1" customWidth="1"/>
  </cols>
  <sheetData>
    <row r="1" spans="1:4" x14ac:dyDescent="0.3">
      <c r="A1" t="s">
        <v>71</v>
      </c>
      <c r="B1" t="s">
        <v>29</v>
      </c>
      <c r="C1" t="s">
        <v>72</v>
      </c>
      <c r="D1" t="s">
        <v>73</v>
      </c>
    </row>
    <row r="2" spans="1:4" x14ac:dyDescent="0.3">
      <c r="A2" t="s">
        <v>74</v>
      </c>
      <c r="B2">
        <v>11.6</v>
      </c>
      <c r="C2">
        <f>B2*333*24</f>
        <v>92707.199999999997</v>
      </c>
      <c r="D2" s="2">
        <f>C2*0.7</f>
        <v>64895.039999999994</v>
      </c>
    </row>
    <row r="3" spans="1:4" x14ac:dyDescent="0.3">
      <c r="A3" t="s">
        <v>75</v>
      </c>
      <c r="B3">
        <v>11.7</v>
      </c>
      <c r="C3">
        <f t="shared" ref="C3:C4" si="0">B3*333*24</f>
        <v>93506.4</v>
      </c>
      <c r="D3" s="2">
        <f t="shared" ref="D3" si="1">C3*0.7</f>
        <v>65454.479999999989</v>
      </c>
    </row>
    <row r="4" spans="1:4" x14ac:dyDescent="0.3">
      <c r="A4" t="s">
        <v>78</v>
      </c>
      <c r="B4">
        <f>sizingcosting!G9</f>
        <v>163.5</v>
      </c>
      <c r="C4">
        <f t="shared" si="0"/>
        <v>1306692</v>
      </c>
      <c r="D4" s="2">
        <f>C4*0.7</f>
        <v>914684.39999999991</v>
      </c>
    </row>
    <row r="5" spans="1:4" x14ac:dyDescent="0.3">
      <c r="A5" t="s">
        <v>76</v>
      </c>
      <c r="B5">
        <v>60.8</v>
      </c>
      <c r="C5">
        <f>B5*333*24</f>
        <v>485913.59999999998</v>
      </c>
      <c r="D5" s="2">
        <f>C5*0.7</f>
        <v>340139.51999999996</v>
      </c>
    </row>
    <row r="6" spans="1:4" x14ac:dyDescent="0.3">
      <c r="C6">
        <v>16</v>
      </c>
      <c r="D6" s="3">
        <f>D5*C6</f>
        <v>5442232.3199999994</v>
      </c>
    </row>
    <row r="7" spans="1:4" x14ac:dyDescent="0.3">
      <c r="C7" t="s">
        <v>48</v>
      </c>
      <c r="D7" s="3">
        <f>SUM(D2:D4,D6)</f>
        <v>6487266.2399999993</v>
      </c>
    </row>
    <row r="10" spans="1:4" x14ac:dyDescent="0.3">
      <c r="C10" t="s">
        <v>48</v>
      </c>
      <c r="D10" s="3">
        <f>D7+sizingcosting!Q16</f>
        <v>21347623.739999998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material</vt:lpstr>
      <vt:lpstr>sizingcosting</vt:lpstr>
      <vt:lpstr>Utilities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Moore</dc:creator>
  <cp:keywords/>
  <dc:description/>
  <cp:lastModifiedBy>Anna</cp:lastModifiedBy>
  <cp:revision/>
  <dcterms:created xsi:type="dcterms:W3CDTF">2023-05-03T16:54:09Z</dcterms:created>
  <dcterms:modified xsi:type="dcterms:W3CDTF">2023-05-11T05:27:10Z</dcterms:modified>
  <cp:category/>
  <cp:contentStatus/>
</cp:coreProperties>
</file>