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ey" sheetId="1" r:id="rId4"/>
    <sheet state="visible" name="Assumptions and Design Requirem" sheetId="2" r:id="rId5"/>
    <sheet state="visible" name="Stream Table" sheetId="3" r:id="rId6"/>
    <sheet state="visible" name="Presentation 3 Stream Table" sheetId="4" r:id="rId7"/>
    <sheet state="visible" name="Presentation 2 Stream Table" sheetId="5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K18">
      <text>
        <t xml:space="preserve">How/Why did we assume this change in pressure due to the heat exchanger?  Estimate?  Assumption?
	-Anna Malone</t>
      </text>
    </comment>
  </commentList>
</comments>
</file>

<file path=xl/sharedStrings.xml><?xml version="1.0" encoding="utf-8"?>
<sst xmlns="http://schemas.openxmlformats.org/spreadsheetml/2006/main" count="201" uniqueCount="119">
  <si>
    <t>Design Requirements</t>
  </si>
  <si>
    <t>Yearly XG Production</t>
  </si>
  <si>
    <t>MT/year</t>
  </si>
  <si>
    <t>Hourly XG Production</t>
  </si>
  <si>
    <t>kg/hr</t>
  </si>
  <si>
    <t>Operation Days/year</t>
  </si>
  <si>
    <t>days</t>
  </si>
  <si>
    <t>Hours/Operation Day</t>
  </si>
  <si>
    <t>Hours</t>
  </si>
  <si>
    <t>Fermentation</t>
  </si>
  <si>
    <t>Broth Feed</t>
  </si>
  <si>
    <t>L/hr</t>
  </si>
  <si>
    <t>Conc of Residuals into Ferm</t>
  </si>
  <si>
    <t>g/L</t>
  </si>
  <si>
    <t>kg/L</t>
  </si>
  <si>
    <t>Conc of Residuals out of Ferm</t>
  </si>
  <si>
    <t xml:space="preserve">% Permeate Recycled </t>
  </si>
  <si>
    <t>%</t>
  </si>
  <si>
    <t>Ultrafiltration (8 continuous Filters)</t>
  </si>
  <si>
    <t>XG Concentration into UF</t>
  </si>
  <si>
    <t>w/v%</t>
  </si>
  <si>
    <t>g/mL</t>
  </si>
  <si>
    <t>XG Concentration out of UF</t>
  </si>
  <si>
    <t>Water Density at 60C</t>
  </si>
  <si>
    <t>Filtration Pressure drop</t>
  </si>
  <si>
    <t>pa</t>
  </si>
  <si>
    <t>barg</t>
  </si>
  <si>
    <t>Xanthan Gum Losses Down stream</t>
  </si>
  <si>
    <t>Precipitation</t>
  </si>
  <si>
    <t>IPA Precipitation Ratio</t>
  </si>
  <si>
    <t>Broth/Xanthan Gum Volumetric Flow Rtae</t>
  </si>
  <si>
    <t>from Aspen</t>
  </si>
  <si>
    <t>IPA Precipitation Volumetric Flow Rate</t>
  </si>
  <si>
    <t>l/hr</t>
  </si>
  <si>
    <t>87 v% IPA Density</t>
  </si>
  <si>
    <t>kg/m^3</t>
  </si>
  <si>
    <t>kg/l</t>
  </si>
  <si>
    <t>IPA Mass Fraction</t>
  </si>
  <si>
    <t>IPA</t>
  </si>
  <si>
    <t>Water</t>
  </si>
  <si>
    <t>IPA Mass Flow Rate</t>
  </si>
  <si>
    <t>Centrifugation</t>
  </si>
  <si>
    <t xml:space="preserve">% Liquid Removed from Xanthan </t>
  </si>
  <si>
    <t xml:space="preserve">% Xanthan Lost </t>
  </si>
  <si>
    <t>Wash Line</t>
  </si>
  <si>
    <t>Process Volumetric Flow Rate</t>
  </si>
  <si>
    <t>IPA Mass Flow Rtae</t>
  </si>
  <si>
    <t>Aspen Feed</t>
  </si>
  <si>
    <t>Bottoms From Aspen</t>
  </si>
  <si>
    <t>Distillate From Aspen</t>
  </si>
  <si>
    <t xml:space="preserve">Fresh IPA </t>
  </si>
  <si>
    <t>IPA Wash</t>
  </si>
  <si>
    <t>OUT OF SCOPE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</si>
  <si>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</si>
  <si>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</si>
  <si>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</si>
  <si>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</si>
  <si>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</si>
  <si>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</si>
  <si>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</si>
  <si>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</si>
  <si>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</si>
  <si>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</si>
  <si>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</si>
  <si>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</si>
  <si>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</si>
  <si>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</si>
  <si>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</si>
  <si>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</si>
  <si>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</si>
  <si>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</si>
  <si>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</si>
  <si>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</si>
  <si>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</si>
  <si>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</si>
  <si>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</si>
  <si>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</si>
  <si>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</si>
  <si>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</si>
  <si>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</si>
  <si>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</si>
  <si>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</si>
  <si>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</si>
  <si>
    <t>S-31</t>
  </si>
  <si>
    <t>S-32</t>
  </si>
  <si>
    <t>S-33</t>
  </si>
  <si>
    <t>Mass Flows (kg/hr)</t>
  </si>
  <si>
    <t>Total</t>
  </si>
  <si>
    <t>XG</t>
  </si>
  <si>
    <t>Residuals</t>
  </si>
  <si>
    <t>Mass Fractions</t>
  </si>
  <si>
    <t>Temperature (C)</t>
  </si>
  <si>
    <t>Pressure (Barg)</t>
  </si>
  <si>
    <t>-</t>
  </si>
  <si>
    <t>Enthalpy Flow (kJ/hr)</t>
  </si>
  <si>
    <t>430K</t>
  </si>
  <si>
    <t>rpm</t>
  </si>
  <si>
    <t>s = kg*m/(N*s)</t>
  </si>
  <si>
    <t>n</t>
  </si>
  <si>
    <t>N*s/m^2</t>
  </si>
  <si>
    <t>r0</t>
  </si>
  <si>
    <t>m</t>
  </si>
  <si>
    <t>kg/s</t>
  </si>
  <si>
    <t>r</t>
  </si>
  <si>
    <t>w</t>
  </si>
  <si>
    <t>rad/s</t>
  </si>
  <si>
    <t>v</t>
  </si>
  <si>
    <t>m/s</t>
  </si>
  <si>
    <t>m^3/hr</t>
  </si>
  <si>
    <t>Ug</t>
  </si>
  <si>
    <t>Q</t>
  </si>
  <si>
    <t>m^3/s</t>
  </si>
  <si>
    <t>sigma (E)</t>
  </si>
  <si>
    <t>m^2</t>
  </si>
  <si>
    <t>u (approx viscosity)</t>
  </si>
  <si>
    <t>deltaP (kg/L)</t>
  </si>
  <si>
    <t>deltaP (kg/m^3)</t>
  </si>
  <si>
    <t>Q/E</t>
  </si>
  <si>
    <t>Temperature (degC)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</si>
</sst>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00000"/>
    <numFmt numFmtId="165" formatCode="0.0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sz val="11.0"/>
      <color rgb="FF000000"/>
      <name val="Calibri"/>
    </font>
    <font>
      <color rgb="FF000000"/>
      <name val="Times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right" vertical="bottom"/>
    </xf>
    <xf borderId="0" fillId="2" fontId="2" numFmtId="0" xfId="0" applyFill="1" applyFont="1"/>
    <xf borderId="0" fillId="2" fontId="2" numFmtId="0" xfId="0" applyAlignment="1" applyFont="1">
      <alignment readingOrder="0"/>
    </xf>
    <xf borderId="0" fillId="0" fontId="3" numFmtId="2" xfId="0" applyAlignment="1" applyFont="1" applyNumberFormat="1">
      <alignment horizontal="right" vertical="bottom"/>
    </xf>
    <xf borderId="0" fillId="0" fontId="1" numFmtId="2" xfId="0" applyAlignment="1" applyFont="1" applyNumberFormat="1">
      <alignment readingOrder="0"/>
    </xf>
    <xf borderId="0" fillId="0" fontId="2" numFmtId="2" xfId="0" applyFont="1" applyNumberFormat="1"/>
    <xf borderId="0" fillId="0" fontId="2" numFmtId="2" xfId="0" applyAlignment="1" applyFont="1" applyNumberFormat="1">
      <alignment readingOrder="0"/>
    </xf>
    <xf borderId="0" fillId="0" fontId="5" numFmtId="2" xfId="0" applyAlignment="1" applyFont="1" applyNumberFormat="1">
      <alignment horizontal="center" readingOrder="0" shrinkToFit="0" wrapText="1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horizontal="right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vertical="bottom"/>
    </xf>
    <xf borderId="0" fillId="0" fontId="2" numFmtId="164" xfId="0" applyFont="1" applyNumberFormat="1"/>
    <xf borderId="0" fillId="0" fontId="2" numFmtId="1" xfId="0" applyFont="1" applyNumberFormat="1"/>
    <xf borderId="0" fillId="0" fontId="1" numFmtId="0" xfId="0" applyAlignment="1" applyFont="1">
      <alignment readingOrder="0"/>
    </xf>
    <xf borderId="0" fillId="0" fontId="2" numFmtId="165" xfId="0" applyFont="1" applyNumberFormat="1"/>
    <xf borderId="0" fillId="0" fontId="2" numFmtId="165" xfId="0" applyAlignment="1" applyFont="1" applyNumberFormat="1">
      <alignment readingOrder="0"/>
    </xf>
    <xf borderId="0" fillId="0" fontId="2" numFmtId="1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38"/>
    <col customWidth="1" min="5" max="5" width="23.5"/>
  </cols>
  <sheetData>
    <row r="1">
      <c r="A1" s="1" t="s">
        <v>0</v>
      </c>
    </row>
    <row r="2">
      <c r="A2" s="2" t="s">
        <v>1</v>
      </c>
      <c r="B2" s="2">
        <v>5000.0</v>
      </c>
      <c r="C2" s="2" t="s">
        <v>2</v>
      </c>
    </row>
    <row r="3">
      <c r="A3" s="2" t="s">
        <v>3</v>
      </c>
      <c r="B3" s="3">
        <f>(B2*1000)/(B4*B5)</f>
        <v>625.6256256</v>
      </c>
      <c r="C3" s="2" t="s">
        <v>4</v>
      </c>
    </row>
    <row r="4">
      <c r="A4" s="2" t="s">
        <v>5</v>
      </c>
      <c r="B4" s="2">
        <v>333.0</v>
      </c>
      <c r="C4" s="2" t="s">
        <v>6</v>
      </c>
    </row>
    <row r="5">
      <c r="A5" s="2" t="s">
        <v>7</v>
      </c>
      <c r="B5" s="2">
        <v>24.0</v>
      </c>
      <c r="C5" s="2" t="s">
        <v>8</v>
      </c>
    </row>
    <row r="7">
      <c r="A7" s="1" t="s">
        <v>9</v>
      </c>
    </row>
    <row r="8">
      <c r="A8" s="2" t="s">
        <v>10</v>
      </c>
      <c r="B8" s="2">
        <f>B3/B18</f>
        <v>25025.02503</v>
      </c>
      <c r="C8" s="2" t="s">
        <v>11</v>
      </c>
    </row>
    <row r="9">
      <c r="A9" s="2" t="s">
        <v>12</v>
      </c>
      <c r="B9" s="2">
        <v>20.0</v>
      </c>
      <c r="C9" s="2" t="s">
        <v>13</v>
      </c>
    </row>
    <row r="10">
      <c r="A10" s="2"/>
      <c r="B10" s="3">
        <f>(B9/1000)</f>
        <v>0.02</v>
      </c>
      <c r="C10" s="2" t="s">
        <v>14</v>
      </c>
    </row>
    <row r="11">
      <c r="A11" s="2" t="s">
        <v>15</v>
      </c>
      <c r="B11" s="2">
        <v>6.5</v>
      </c>
      <c r="C11" s="2" t="s">
        <v>13</v>
      </c>
    </row>
    <row r="12">
      <c r="B12" s="3">
        <f>(B11/1000)</f>
        <v>0.0065</v>
      </c>
      <c r="C12" s="2" t="s">
        <v>14</v>
      </c>
    </row>
    <row r="13">
      <c r="A13" s="2" t="s">
        <v>16</v>
      </c>
      <c r="B13" s="2">
        <v>50.0</v>
      </c>
      <c r="C13" s="2" t="s">
        <v>17</v>
      </c>
    </row>
    <row r="15">
      <c r="A15" s="1" t="s">
        <v>18</v>
      </c>
    </row>
    <row r="16">
      <c r="A16" s="2" t="s">
        <v>19</v>
      </c>
      <c r="B16" s="2">
        <v>2.5</v>
      </c>
      <c r="C16" s="2" t="s">
        <v>20</v>
      </c>
    </row>
    <row r="17">
      <c r="B17" s="3">
        <f>B16/100</f>
        <v>0.025</v>
      </c>
      <c r="C17" s="2" t="s">
        <v>21</v>
      </c>
    </row>
    <row r="18">
      <c r="B18" s="3">
        <f>B17</f>
        <v>0.025</v>
      </c>
      <c r="C18" s="2" t="s">
        <v>14</v>
      </c>
    </row>
    <row r="19">
      <c r="A19" s="2" t="s">
        <v>22</v>
      </c>
      <c r="B19" s="2">
        <v>7.5</v>
      </c>
      <c r="C19" s="2" t="s">
        <v>20</v>
      </c>
    </row>
    <row r="20">
      <c r="B20" s="3">
        <f>B19/100</f>
        <v>0.075</v>
      </c>
      <c r="C20" s="2" t="s">
        <v>21</v>
      </c>
    </row>
    <row r="21">
      <c r="B21" s="3">
        <f>B20</f>
        <v>0.075</v>
      </c>
      <c r="C21" s="2" t="s">
        <v>14</v>
      </c>
    </row>
    <row r="22">
      <c r="A22" s="2" t="s">
        <v>23</v>
      </c>
      <c r="B22" s="4">
        <v>0.99907</v>
      </c>
      <c r="C22" s="5" t="s">
        <v>14</v>
      </c>
    </row>
    <row r="23">
      <c r="A23" s="2" t="s">
        <v>24</v>
      </c>
      <c r="B23" s="6">
        <v>665690.9506</v>
      </c>
      <c r="C23" s="2" t="s">
        <v>25</v>
      </c>
      <c r="D23" s="2">
        <f>B23/100000</f>
        <v>6.656909506</v>
      </c>
      <c r="E23" s="2" t="s">
        <v>26</v>
      </c>
    </row>
    <row r="24">
      <c r="A24" s="2" t="s">
        <v>27</v>
      </c>
      <c r="B24" s="2">
        <v>10.0</v>
      </c>
      <c r="C24" s="2" t="s">
        <v>17</v>
      </c>
      <c r="D24" s="2"/>
    </row>
    <row r="26">
      <c r="A26" s="1" t="s">
        <v>28</v>
      </c>
    </row>
    <row r="27">
      <c r="A27" s="2" t="s">
        <v>29</v>
      </c>
      <c r="B27" s="2">
        <v>4.0</v>
      </c>
    </row>
    <row r="28">
      <c r="A28" s="2" t="s">
        <v>30</v>
      </c>
      <c r="B28" s="2">
        <v>8424.44</v>
      </c>
      <c r="C28" s="2" t="s">
        <v>31</v>
      </c>
    </row>
    <row r="29">
      <c r="A29" s="2" t="s">
        <v>32</v>
      </c>
      <c r="B29" s="3">
        <f>B28*B27</f>
        <v>33697.76</v>
      </c>
      <c r="C29" s="2" t="s">
        <v>33</v>
      </c>
    </row>
    <row r="30">
      <c r="A30" s="2" t="s">
        <v>34</v>
      </c>
      <c r="B30" s="2">
        <v>820.384998147426</v>
      </c>
      <c r="C30" s="2" t="s">
        <v>35</v>
      </c>
    </row>
    <row r="31">
      <c r="A31" s="2"/>
      <c r="B31" s="3">
        <f>B30/1000</f>
        <v>0.8203849981</v>
      </c>
      <c r="C31" s="2" t="s">
        <v>36</v>
      </c>
      <c r="D31" s="3">
        <f>11/3.78541178</f>
        <v>2.905892579</v>
      </c>
    </row>
    <row r="32">
      <c r="A32" s="7" t="s">
        <v>37</v>
      </c>
      <c r="B32" s="2">
        <v>0.84</v>
      </c>
      <c r="C32" s="2" t="s">
        <v>38</v>
      </c>
      <c r="D32" s="3">
        <f>D31/B31</f>
        <v>3.542108383</v>
      </c>
    </row>
    <row r="33">
      <c r="A33" s="1"/>
      <c r="B33" s="2">
        <v>0.16</v>
      </c>
      <c r="C33" s="2" t="s">
        <v>39</v>
      </c>
    </row>
    <row r="34">
      <c r="A34" s="7" t="s">
        <v>40</v>
      </c>
      <c r="B34" s="3">
        <f>B29*B31</f>
        <v>27645.13678</v>
      </c>
      <c r="C34" s="2" t="s">
        <v>4</v>
      </c>
    </row>
    <row r="35">
      <c r="A35" s="1" t="s">
        <v>41</v>
      </c>
    </row>
    <row r="36">
      <c r="A36" s="2" t="s">
        <v>42</v>
      </c>
      <c r="B36" s="2">
        <v>95.0</v>
      </c>
      <c r="C36" s="2" t="s">
        <v>17</v>
      </c>
    </row>
    <row r="37">
      <c r="A37" s="2" t="s">
        <v>43</v>
      </c>
      <c r="B37" s="2">
        <v>5.0</v>
      </c>
      <c r="C37" s="2" t="s">
        <v>17</v>
      </c>
    </row>
    <row r="39">
      <c r="A39" s="2" t="s">
        <v>44</v>
      </c>
    </row>
    <row r="40">
      <c r="A40" s="2" t="s">
        <v>45</v>
      </c>
      <c r="B40" s="3">
        <v>2174.293043043043</v>
      </c>
      <c r="C40" s="2" t="s">
        <v>11</v>
      </c>
    </row>
    <row r="41">
      <c r="A41" s="2" t="s">
        <v>34</v>
      </c>
      <c r="B41" s="3">
        <f>B40/1000</f>
        <v>2.174293043</v>
      </c>
      <c r="C41" s="2" t="s">
        <v>36</v>
      </c>
    </row>
    <row r="42">
      <c r="A42" s="7" t="s">
        <v>37</v>
      </c>
      <c r="B42" s="2">
        <v>0.84</v>
      </c>
      <c r="C42" s="2" t="s">
        <v>38</v>
      </c>
    </row>
    <row r="43">
      <c r="A43" s="1"/>
      <c r="B43" s="2">
        <v>0.16</v>
      </c>
      <c r="C43" s="2" t="s">
        <v>39</v>
      </c>
    </row>
    <row r="44">
      <c r="A44" s="2" t="s">
        <v>46</v>
      </c>
      <c r="B44" s="3">
        <f>B40*B41</f>
        <v>4727.550237</v>
      </c>
      <c r="C44" s="2" t="s">
        <v>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16.0"/>
    <col customWidth="1" min="2" max="2" width="9.75"/>
    <col customWidth="1" min="3" max="3" width="9.13"/>
    <col customWidth="1" min="4" max="4" width="9.0"/>
    <col customWidth="1" min="5" max="5" width="8.5"/>
    <col hidden="1" min="6" max="6" width="12.63"/>
    <col customWidth="1" min="7" max="7" width="8.38"/>
    <col customWidth="1" min="8" max="8" width="7.0"/>
    <col customWidth="1" min="9" max="9" width="7.5"/>
    <col customWidth="1" min="10" max="10" width="7.88"/>
    <col customWidth="1" min="11" max="11" width="7.38"/>
    <col customWidth="1" min="12" max="12" width="9.13"/>
    <col customWidth="1" min="13" max="13" width="9.75"/>
    <col customWidth="1" min="14" max="14" width="8.38"/>
    <col customWidth="1" min="15" max="16" width="8.13"/>
    <col hidden="1" min="18" max="18" width="12.63"/>
    <col customWidth="1" hidden="1" min="19" max="19" width="0.38"/>
    <col customWidth="1" min="20" max="20" width="8.63"/>
    <col customWidth="1" min="26" max="26" width="4.75"/>
    <col customWidth="1" min="27" max="27" width="9.0"/>
    <col customWidth="1" min="28" max="28" width="8.0"/>
    <col customWidth="1" min="29" max="29" width="7.88"/>
    <col customWidth="1" min="30" max="31" width="7.75"/>
    <col customWidth="1" min="32" max="32" width="7.38"/>
    <col customWidth="1" min="33" max="33" width="7.75"/>
    <col customWidth="1" min="34" max="34" width="7.5"/>
  </cols>
  <sheetData>
    <row r="1">
      <c r="A1" s="8" t="str">
        <f t="shared" ref="A1:A2" si="1">#REF!/1000</f>
        <v>#REF!</v>
      </c>
      <c r="B1" s="9"/>
      <c r="C1" s="9"/>
      <c r="D1" s="9"/>
      <c r="E1" s="9"/>
      <c r="F1" s="9"/>
      <c r="G1" s="10"/>
      <c r="H1" s="10"/>
      <c r="I1" s="10"/>
      <c r="J1" s="10"/>
      <c r="K1" s="9"/>
      <c r="L1" s="10"/>
      <c r="M1" s="9"/>
      <c r="N1" s="9"/>
      <c r="O1" s="9"/>
      <c r="P1" s="9"/>
      <c r="Q1" s="10" t="s">
        <v>47</v>
      </c>
      <c r="R1" s="10"/>
      <c r="S1" s="9"/>
      <c r="T1" s="10" t="s">
        <v>48</v>
      </c>
      <c r="U1" s="9"/>
      <c r="V1" s="10"/>
      <c r="W1" s="9"/>
      <c r="X1" s="9"/>
      <c r="Y1" s="9"/>
      <c r="Z1" s="9"/>
      <c r="AA1" s="10" t="s">
        <v>49</v>
      </c>
      <c r="AB1" s="10" t="s">
        <v>50</v>
      </c>
      <c r="AC1" s="9"/>
      <c r="AD1" s="10" t="s">
        <v>51</v>
      </c>
      <c r="AE1" s="10" t="s">
        <v>51</v>
      </c>
      <c r="AF1" s="10" t="s">
        <v>52</v>
      </c>
      <c r="AG1" s="9"/>
      <c r="AH1" s="10"/>
    </row>
    <row r="2">
      <c r="A2" s="11" t="str">
        <f t="shared" si="1"/>
        <v>#REF!</v>
      </c>
      <c r="B2" s="12" t="s">
        <v>53</v>
      </c>
      <c r="C2" s="12" t="s">
        <v>54</v>
      </c>
      <c r="D2" s="12" t="s">
        <v>55</v>
      </c>
      <c r="E2" s="12" t="s">
        <v>56</v>
      </c>
      <c r="F2" s="12" t="s">
        <v>57</v>
      </c>
      <c r="G2" s="12" t="s">
        <v>58</v>
      </c>
      <c r="H2" s="12" t="s">
        <v>59</v>
      </c>
      <c r="I2" s="12" t="s">
        <v>60</v>
      </c>
      <c r="J2" s="12" t="s">
        <v>61</v>
      </c>
      <c r="K2" s="12" t="s">
        <v>62</v>
      </c>
      <c r="L2" s="12" t="s">
        <v>63</v>
      </c>
      <c r="M2" s="12" t="s">
        <v>64</v>
      </c>
      <c r="N2" s="12" t="s">
        <v>65</v>
      </c>
      <c r="O2" s="12" t="s">
        <v>66</v>
      </c>
      <c r="P2" s="12" t="s">
        <v>67</v>
      </c>
      <c r="Q2" s="12" t="s">
        <v>68</v>
      </c>
      <c r="R2" s="12" t="s">
        <v>69</v>
      </c>
      <c r="S2" s="12" t="s">
        <v>70</v>
      </c>
      <c r="T2" s="12" t="s">
        <v>71</v>
      </c>
      <c r="U2" s="12" t="s">
        <v>72</v>
      </c>
      <c r="V2" s="12" t="s">
        <v>73</v>
      </c>
      <c r="W2" s="12" t="s">
        <v>74</v>
      </c>
      <c r="X2" s="12" t="s">
        <v>75</v>
      </c>
      <c r="Y2" s="12" t="s">
        <v>76</v>
      </c>
      <c r="Z2" s="12" t="s">
        <v>77</v>
      </c>
      <c r="AA2" s="12" t="s">
        <v>78</v>
      </c>
      <c r="AB2" s="12" t="s">
        <v>79</v>
      </c>
      <c r="AC2" s="12" t="s">
        <v>80</v>
      </c>
      <c r="AD2" s="12" t="s">
        <v>81</v>
      </c>
      <c r="AE2" s="12" t="s">
        <v>82</v>
      </c>
      <c r="AF2" s="12" t="s">
        <v>83</v>
      </c>
      <c r="AG2" s="12" t="s">
        <v>84</v>
      </c>
      <c r="AH2" s="12" t="s">
        <v>85</v>
      </c>
    </row>
    <row r="3">
      <c r="A3" s="12" t="s">
        <v>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>
      <c r="A4" s="14" t="s">
        <v>87</v>
      </c>
      <c r="B4" s="13">
        <f t="shared" ref="B4:Q4" si="2">sum(B5:B8)</f>
        <v>25502.25225</v>
      </c>
      <c r="C4" s="13">
        <f t="shared" si="2"/>
        <v>25852.6026</v>
      </c>
      <c r="D4" s="13">
        <f t="shared" si="2"/>
        <v>25852.6026</v>
      </c>
      <c r="E4" s="13">
        <f t="shared" si="2"/>
        <v>25852.6026</v>
      </c>
      <c r="F4" s="13">
        <f t="shared" si="2"/>
        <v>0</v>
      </c>
      <c r="G4" s="13">
        <f t="shared" si="2"/>
        <v>15937.46246</v>
      </c>
      <c r="H4" s="13">
        <f t="shared" si="2"/>
        <v>7968.731231</v>
      </c>
      <c r="I4" s="13">
        <f t="shared" si="2"/>
        <v>7968.731231</v>
      </c>
      <c r="J4" s="13">
        <f t="shared" si="2"/>
        <v>9915.14014</v>
      </c>
      <c r="K4" s="13">
        <f t="shared" si="2"/>
        <v>9915.14014</v>
      </c>
      <c r="L4" s="13">
        <f t="shared" si="2"/>
        <v>37560.27692</v>
      </c>
      <c r="M4" s="13">
        <f t="shared" si="2"/>
        <v>38469.42523</v>
      </c>
      <c r="N4" s="13">
        <f t="shared" si="2"/>
        <v>-909.1483164</v>
      </c>
      <c r="O4" s="13">
        <f t="shared" si="2"/>
        <v>4680.274735</v>
      </c>
      <c r="P4" s="13">
        <f t="shared" si="2"/>
        <v>43149.69997</v>
      </c>
      <c r="Q4" s="13">
        <f t="shared" si="2"/>
        <v>43149.69997</v>
      </c>
      <c r="R4" s="13"/>
      <c r="S4" s="13"/>
      <c r="T4" s="13">
        <f t="shared" ref="T4:U4" si="3">sum(T5:T8)</f>
        <v>12206.45013</v>
      </c>
      <c r="U4" s="13">
        <f t="shared" si="3"/>
        <v>12206.45013</v>
      </c>
      <c r="V4" s="15">
        <v>61886.0</v>
      </c>
      <c r="W4" s="15">
        <v>61886.0</v>
      </c>
      <c r="X4" s="15">
        <v>61886.0</v>
      </c>
      <c r="Y4" s="15">
        <v>61886.0</v>
      </c>
      <c r="Z4" s="15">
        <v>30943.0</v>
      </c>
      <c r="AA4" s="13">
        <f t="shared" ref="AA4:AH4" si="4">sum(AA5:AA8)</f>
        <v>30943</v>
      </c>
      <c r="AB4" s="13">
        <f t="shared" si="4"/>
        <v>69.11911845</v>
      </c>
      <c r="AC4" s="13">
        <f t="shared" si="4"/>
        <v>27645.13678</v>
      </c>
      <c r="AD4" s="13">
        <f t="shared" si="4"/>
        <v>4727.550237</v>
      </c>
      <c r="AE4" s="13">
        <f t="shared" si="4"/>
        <v>4727.550237</v>
      </c>
      <c r="AF4" s="13">
        <f t="shared" si="4"/>
        <v>-2660.721638</v>
      </c>
      <c r="AG4" s="13">
        <f t="shared" si="4"/>
        <v>-2752.752753</v>
      </c>
      <c r="AH4" s="13">
        <f t="shared" si="4"/>
        <v>-2752.752753</v>
      </c>
    </row>
    <row r="5">
      <c r="A5" s="14" t="s">
        <v>88</v>
      </c>
      <c r="B5" s="14">
        <v>0.0</v>
      </c>
      <c r="C5" s="13">
        <f>'Assumptions and Design Requirem'!B3+(('Assumptions and Design Requirem'!B24/100)*'Assumptions and Design Requirem'!B3)</f>
        <v>688.1881882</v>
      </c>
      <c r="D5" s="13">
        <f t="shared" ref="D5:E5" si="5">C5</f>
        <v>688.1881882</v>
      </c>
      <c r="E5" s="13">
        <f t="shared" si="5"/>
        <v>688.1881882</v>
      </c>
      <c r="F5" s="13"/>
      <c r="G5" s="13">
        <f t="shared" ref="G5:G8" si="8">E5-J5</f>
        <v>0</v>
      </c>
      <c r="H5" s="13">
        <f t="shared" ref="H5:H8" si="9">G5-I5</f>
        <v>0</v>
      </c>
      <c r="I5" s="13">
        <f>G5*('Assumptions and Design Requirem'!$B$13/100)</f>
        <v>0</v>
      </c>
      <c r="J5" s="13">
        <f>E5</f>
        <v>688.1881882</v>
      </c>
      <c r="K5" s="13">
        <f t="shared" ref="K5:K8" si="10">J5</f>
        <v>688.1881882</v>
      </c>
      <c r="L5" s="13">
        <f t="shared" ref="L5:L8" si="11">K5+AC5</f>
        <v>688.1881882</v>
      </c>
      <c r="M5" s="14">
        <f>L5*('Assumptions and Design Requirem'!B37)</f>
        <v>3440.940941</v>
      </c>
      <c r="N5" s="13">
        <f t="shared" ref="N5:N8" si="12">L5-M5</f>
        <v>-2752.752753</v>
      </c>
      <c r="O5" s="13">
        <f t="shared" ref="O5:O8" si="13">AD5*0.99</f>
        <v>0</v>
      </c>
      <c r="P5" s="13">
        <f t="shared" ref="P5:P8" si="14">M5+O5</f>
        <v>3440.940941</v>
      </c>
      <c r="Q5" s="13">
        <f t="shared" ref="Q5:Q8" si="15">P5</f>
        <v>3440.940941</v>
      </c>
      <c r="R5" s="13"/>
      <c r="S5" s="13"/>
      <c r="T5" s="13">
        <f t="shared" ref="T5:T6" si="16">Q5</f>
        <v>3440.940941</v>
      </c>
      <c r="U5" s="13">
        <f t="shared" ref="U5:U8" si="17">T5</f>
        <v>3440.940941</v>
      </c>
      <c r="V5" s="15">
        <v>0.0</v>
      </c>
      <c r="W5" s="15">
        <v>0.0</v>
      </c>
      <c r="X5" s="15">
        <v>0.0</v>
      </c>
      <c r="Y5" s="15">
        <v>0.0</v>
      </c>
      <c r="Z5" s="15">
        <v>0.0</v>
      </c>
      <c r="AA5" s="14">
        <v>0.0</v>
      </c>
      <c r="AB5" s="13">
        <f t="shared" ref="AB5:AB6" si="18">AC5+AE5-AA5</f>
        <v>0</v>
      </c>
      <c r="AC5" s="14">
        <v>0.0</v>
      </c>
      <c r="AD5" s="14">
        <v>0.0</v>
      </c>
      <c r="AE5" s="13">
        <f t="shared" ref="AE5:AE8" si="19">AD5</f>
        <v>0</v>
      </c>
      <c r="AF5" s="13">
        <f>N5</f>
        <v>-2752.752753</v>
      </c>
      <c r="AG5" s="13">
        <f t="shared" ref="AG5:AH5" si="6">AF5</f>
        <v>-2752.752753</v>
      </c>
      <c r="AH5" s="13">
        <f t="shared" si="6"/>
        <v>-2752.752753</v>
      </c>
    </row>
    <row r="6">
      <c r="A6" s="14" t="s">
        <v>89</v>
      </c>
      <c r="B6" s="13">
        <f>'Assumptions and Design Requirem'!B8*'Assumptions and Design Requirem'!B10</f>
        <v>500.5005005</v>
      </c>
      <c r="C6" s="13">
        <f>'Assumptions and Design Requirem'!B8*'Assumptions and Design Requirem'!B12</f>
        <v>162.6626627</v>
      </c>
      <c r="D6" s="13">
        <f t="shared" ref="D6:E6" si="7">C6</f>
        <v>162.6626627</v>
      </c>
      <c r="E6" s="13">
        <f t="shared" si="7"/>
        <v>162.6626627</v>
      </c>
      <c r="F6" s="13"/>
      <c r="G6" s="13">
        <f t="shared" si="8"/>
        <v>103.0196864</v>
      </c>
      <c r="H6" s="13">
        <f t="shared" si="9"/>
        <v>51.50984318</v>
      </c>
      <c r="I6" s="13">
        <f>G6*('Assumptions and Design Requirem'!$B$13/100)</f>
        <v>51.50984318</v>
      </c>
      <c r="J6" s="13">
        <f>E6*(J7/E7)</f>
        <v>59.64297631</v>
      </c>
      <c r="K6" s="13">
        <f t="shared" si="10"/>
        <v>59.64297631</v>
      </c>
      <c r="L6" s="13">
        <f t="shared" si="11"/>
        <v>59.64297631</v>
      </c>
      <c r="M6" s="13">
        <f>L6*('Assumptions and Design Requirem'!$B$36/100)</f>
        <v>56.66082749</v>
      </c>
      <c r="N6" s="13">
        <f t="shared" si="12"/>
        <v>2.982148815</v>
      </c>
      <c r="O6" s="13">
        <f t="shared" si="13"/>
        <v>0</v>
      </c>
      <c r="P6" s="13">
        <f t="shared" si="14"/>
        <v>56.66082749</v>
      </c>
      <c r="Q6" s="13">
        <f t="shared" si="15"/>
        <v>56.66082749</v>
      </c>
      <c r="R6" s="13"/>
      <c r="S6" s="13"/>
      <c r="T6" s="13">
        <f t="shared" si="16"/>
        <v>56.66082749</v>
      </c>
      <c r="U6" s="13">
        <f t="shared" si="17"/>
        <v>56.66082749</v>
      </c>
      <c r="V6" s="15">
        <v>0.0</v>
      </c>
      <c r="W6" s="15">
        <v>0.0</v>
      </c>
      <c r="X6" s="15">
        <v>0.0</v>
      </c>
      <c r="Y6" s="15">
        <v>0.0</v>
      </c>
      <c r="Z6" s="15">
        <v>0.0</v>
      </c>
      <c r="AA6" s="14">
        <v>0.0</v>
      </c>
      <c r="AB6" s="13">
        <f t="shared" si="18"/>
        <v>0</v>
      </c>
      <c r="AC6" s="14">
        <v>0.0</v>
      </c>
      <c r="AD6" s="14">
        <v>0.0</v>
      </c>
      <c r="AE6" s="13">
        <f t="shared" si="19"/>
        <v>0</v>
      </c>
      <c r="AF6" s="14">
        <v>0.0</v>
      </c>
      <c r="AG6" s="14">
        <v>0.0</v>
      </c>
      <c r="AH6" s="13">
        <f t="shared" ref="AH6:AH8" si="21">AG6</f>
        <v>0</v>
      </c>
    </row>
    <row r="7">
      <c r="A7" s="14" t="s">
        <v>39</v>
      </c>
      <c r="B7" s="13">
        <f>'Assumptions and Design Requirem'!B8*'Assumptions and Design Requirem'!B22</f>
        <v>25001.75175</v>
      </c>
      <c r="C7" s="13">
        <f t="shared" ref="C7:E7" si="20">B7</f>
        <v>25001.75175</v>
      </c>
      <c r="D7" s="13">
        <f t="shared" si="20"/>
        <v>25001.75175</v>
      </c>
      <c r="E7" s="13">
        <f t="shared" si="20"/>
        <v>25001.75175</v>
      </c>
      <c r="F7" s="13"/>
      <c r="G7" s="13">
        <f t="shared" si="8"/>
        <v>15834.44278</v>
      </c>
      <c r="H7" s="13">
        <f t="shared" si="9"/>
        <v>7917.221388</v>
      </c>
      <c r="I7" s="13">
        <f>G7*('Assumptions and Design Requirem'!$B$13/100)</f>
        <v>7917.221388</v>
      </c>
      <c r="J7" s="13">
        <f>(J5/'Assumptions and Design Requirem'!B21)*'Assumptions and Design Requirem'!B22</f>
        <v>9167.308976</v>
      </c>
      <c r="K7" s="13">
        <f t="shared" si="10"/>
        <v>9167.308976</v>
      </c>
      <c r="L7" s="13">
        <f t="shared" si="11"/>
        <v>13590.53086</v>
      </c>
      <c r="M7" s="13">
        <f>L7*('Assumptions and Design Requirem'!$B$36/100)</f>
        <v>12911.00432</v>
      </c>
      <c r="N7" s="13">
        <f t="shared" si="12"/>
        <v>679.526543</v>
      </c>
      <c r="O7" s="13">
        <f t="shared" si="13"/>
        <v>748.8439575</v>
      </c>
      <c r="P7" s="13">
        <f t="shared" si="14"/>
        <v>13659.84827</v>
      </c>
      <c r="Q7" s="13">
        <f t="shared" si="15"/>
        <v>13659.84827</v>
      </c>
      <c r="R7" s="13"/>
      <c r="S7" s="13"/>
      <c r="T7" s="14">
        <v>8708.84309028368</v>
      </c>
      <c r="U7" s="13">
        <f t="shared" si="17"/>
        <v>8708.84309</v>
      </c>
      <c r="V7" s="15">
        <v>9902.02</v>
      </c>
      <c r="W7" s="15">
        <v>9902.02</v>
      </c>
      <c r="X7" s="15">
        <v>9902.02</v>
      </c>
      <c r="Y7" s="15">
        <v>9902.02</v>
      </c>
      <c r="Z7" s="15">
        <v>4951.01</v>
      </c>
      <c r="AA7" s="14">
        <v>4951.0051382349</v>
      </c>
      <c r="AB7" s="13">
        <f>(AB8/0.84)-AB8</f>
        <v>11.05905895</v>
      </c>
      <c r="AC7" s="13">
        <f>'Assumptions and Design Requirem'!B33*'Assumptions and Design Requirem'!B34</f>
        <v>4423.221884</v>
      </c>
      <c r="AD7" s="13">
        <f>'Assumptions and Design Requirem'!B44*'Assumptions and Design Requirem'!B43</f>
        <v>756.4080379</v>
      </c>
      <c r="AE7" s="13">
        <f t="shared" si="19"/>
        <v>756.4080379</v>
      </c>
      <c r="AF7" s="13">
        <f t="shared" ref="AF7:AF8" si="23">N7*0.05</f>
        <v>33.97632715</v>
      </c>
      <c r="AG7" s="14">
        <v>0.0</v>
      </c>
      <c r="AH7" s="13">
        <f t="shared" si="21"/>
        <v>0</v>
      </c>
    </row>
    <row r="8">
      <c r="A8" s="14" t="s">
        <v>38</v>
      </c>
      <c r="B8" s="14">
        <v>0.0</v>
      </c>
      <c r="C8" s="14">
        <v>0.0</v>
      </c>
      <c r="D8" s="13">
        <f t="shared" ref="D8:E8" si="22">C8</f>
        <v>0</v>
      </c>
      <c r="E8" s="13">
        <f t="shared" si="22"/>
        <v>0</v>
      </c>
      <c r="F8" s="13"/>
      <c r="G8" s="13">
        <f t="shared" si="8"/>
        <v>0</v>
      </c>
      <c r="H8" s="13">
        <f t="shared" si="9"/>
        <v>0</v>
      </c>
      <c r="I8" s="13">
        <f>G8*('Assumptions and Design Requirem'!$B$13/100)</f>
        <v>0</v>
      </c>
      <c r="J8" s="14">
        <v>0.0</v>
      </c>
      <c r="K8" s="13">
        <f t="shared" si="10"/>
        <v>0</v>
      </c>
      <c r="L8" s="13">
        <f t="shared" si="11"/>
        <v>23221.91489</v>
      </c>
      <c r="M8" s="13">
        <f>L8*('Assumptions and Design Requirem'!$B$36/100)</f>
        <v>22060.81915</v>
      </c>
      <c r="N8" s="13">
        <f t="shared" si="12"/>
        <v>1161.095745</v>
      </c>
      <c r="O8" s="13">
        <f t="shared" si="13"/>
        <v>3931.430777</v>
      </c>
      <c r="P8" s="13">
        <f t="shared" si="14"/>
        <v>25992.24992</v>
      </c>
      <c r="Q8" s="13">
        <f t="shared" si="15"/>
        <v>25992.24992</v>
      </c>
      <c r="R8" s="14"/>
      <c r="S8" s="13"/>
      <c r="T8" s="14">
        <v>0.00527227161706381</v>
      </c>
      <c r="U8" s="13">
        <f t="shared" si="17"/>
        <v>0.005272271617</v>
      </c>
      <c r="V8" s="15">
        <v>51983.98</v>
      </c>
      <c r="W8" s="15">
        <v>51983.98</v>
      </c>
      <c r="X8" s="15">
        <v>51983.98</v>
      </c>
      <c r="Y8" s="15">
        <v>51983.98</v>
      </c>
      <c r="Z8" s="15">
        <v>25991.99</v>
      </c>
      <c r="AA8" s="14">
        <v>25991.9948662157</v>
      </c>
      <c r="AB8" s="13">
        <f>AF8+T8</f>
        <v>58.0600595</v>
      </c>
      <c r="AC8" s="13">
        <f>'Assumptions and Design Requirem'!B32*'Assumptions and Design Requirem'!B34</f>
        <v>23221.91489</v>
      </c>
      <c r="AD8" s="13">
        <f>'Assumptions and Design Requirem'!B44*'Assumptions and Design Requirem'!B42</f>
        <v>3971.142199</v>
      </c>
      <c r="AE8" s="13">
        <f t="shared" si="19"/>
        <v>3971.142199</v>
      </c>
      <c r="AF8" s="13">
        <f t="shared" si="23"/>
        <v>58.05478723</v>
      </c>
      <c r="AG8" s="14">
        <v>0.0</v>
      </c>
      <c r="AH8" s="13">
        <f t="shared" si="21"/>
        <v>0</v>
      </c>
    </row>
    <row r="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>
      <c r="A11" s="12" t="s">
        <v>90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>
      <c r="A12" s="14" t="s">
        <v>88</v>
      </c>
      <c r="B12" s="13">
        <f t="shared" ref="B12:AH12" si="24">B5/B4</f>
        <v>0</v>
      </c>
      <c r="C12" s="13">
        <f t="shared" si="24"/>
        <v>0.02661968695</v>
      </c>
      <c r="D12" s="13">
        <f t="shared" si="24"/>
        <v>0.02661968695</v>
      </c>
      <c r="E12" s="13">
        <f t="shared" si="24"/>
        <v>0.02661968695</v>
      </c>
      <c r="F12" s="13" t="str">
        <f t="shared" si="24"/>
        <v>#DIV/0!</v>
      </c>
      <c r="G12" s="13">
        <f t="shared" si="24"/>
        <v>0</v>
      </c>
      <c r="H12" s="13">
        <f t="shared" si="24"/>
        <v>0</v>
      </c>
      <c r="I12" s="13">
        <f t="shared" si="24"/>
        <v>0</v>
      </c>
      <c r="J12" s="13">
        <f t="shared" si="24"/>
        <v>0.06940781254</v>
      </c>
      <c r="K12" s="13">
        <f t="shared" si="24"/>
        <v>0.06940781254</v>
      </c>
      <c r="L12" s="13">
        <f t="shared" si="24"/>
        <v>0.01832223414</v>
      </c>
      <c r="M12" s="13">
        <f t="shared" si="24"/>
        <v>0.089446123</v>
      </c>
      <c r="N12" s="13">
        <f t="shared" si="24"/>
        <v>3.027836826</v>
      </c>
      <c r="O12" s="13">
        <f t="shared" si="24"/>
        <v>0</v>
      </c>
      <c r="P12" s="13">
        <f t="shared" si="24"/>
        <v>0.07974426111</v>
      </c>
      <c r="Q12" s="13">
        <f t="shared" si="24"/>
        <v>0.07974426111</v>
      </c>
      <c r="R12" s="13" t="str">
        <f t="shared" si="24"/>
        <v>#DIV/0!</v>
      </c>
      <c r="S12" s="13" t="str">
        <f t="shared" si="24"/>
        <v>#DIV/0!</v>
      </c>
      <c r="T12" s="13">
        <f t="shared" si="24"/>
        <v>0.2818953016</v>
      </c>
      <c r="U12" s="13">
        <f t="shared" si="24"/>
        <v>0.2818953016</v>
      </c>
      <c r="V12" s="13">
        <f t="shared" si="24"/>
        <v>0</v>
      </c>
      <c r="W12" s="13">
        <f t="shared" si="24"/>
        <v>0</v>
      </c>
      <c r="X12" s="13">
        <f t="shared" si="24"/>
        <v>0</v>
      </c>
      <c r="Y12" s="13">
        <f t="shared" si="24"/>
        <v>0</v>
      </c>
      <c r="Z12" s="13">
        <f t="shared" si="24"/>
        <v>0</v>
      </c>
      <c r="AA12" s="13">
        <f t="shared" si="24"/>
        <v>0</v>
      </c>
      <c r="AB12" s="13">
        <f t="shared" si="24"/>
        <v>0</v>
      </c>
      <c r="AC12" s="13">
        <f t="shared" si="24"/>
        <v>0</v>
      </c>
      <c r="AD12" s="13">
        <f t="shared" si="24"/>
        <v>0</v>
      </c>
      <c r="AE12" s="13">
        <f t="shared" si="24"/>
        <v>0</v>
      </c>
      <c r="AF12" s="13">
        <f t="shared" si="24"/>
        <v>1.03458878</v>
      </c>
      <c r="AG12" s="13">
        <f t="shared" si="24"/>
        <v>1</v>
      </c>
      <c r="AH12" s="13">
        <f t="shared" si="24"/>
        <v>1</v>
      </c>
    </row>
    <row r="13">
      <c r="A13" s="14" t="s">
        <v>89</v>
      </c>
      <c r="B13" s="13">
        <f t="shared" ref="B13:AH13" si="25">B6/B4</f>
        <v>0.01962573719</v>
      </c>
      <c r="C13" s="13">
        <f t="shared" si="25"/>
        <v>0.006291926007</v>
      </c>
      <c r="D13" s="13">
        <f t="shared" si="25"/>
        <v>0.006291926007</v>
      </c>
      <c r="E13" s="13">
        <f t="shared" si="25"/>
        <v>0.006291926007</v>
      </c>
      <c r="F13" s="13" t="str">
        <f t="shared" si="25"/>
        <v>#DIV/0!</v>
      </c>
      <c r="G13" s="13">
        <f t="shared" si="25"/>
        <v>0.006463995545</v>
      </c>
      <c r="H13" s="13">
        <f t="shared" si="25"/>
        <v>0.006463995545</v>
      </c>
      <c r="I13" s="13">
        <f t="shared" si="25"/>
        <v>0.006463995545</v>
      </c>
      <c r="J13" s="13">
        <f t="shared" si="25"/>
        <v>0.006015343754</v>
      </c>
      <c r="K13" s="13">
        <f t="shared" si="25"/>
        <v>0.006015343754</v>
      </c>
      <c r="L13" s="13">
        <f t="shared" si="25"/>
        <v>0.001587926959</v>
      </c>
      <c r="M13" s="13">
        <f t="shared" si="25"/>
        <v>0.001472879492</v>
      </c>
      <c r="N13" s="13">
        <f t="shared" si="25"/>
        <v>-0.003280156562</v>
      </c>
      <c r="O13" s="13">
        <f t="shared" si="25"/>
        <v>0</v>
      </c>
      <c r="P13" s="13">
        <f t="shared" si="25"/>
        <v>0.001313122166</v>
      </c>
      <c r="Q13" s="13">
        <f t="shared" si="25"/>
        <v>0.001313122166</v>
      </c>
      <c r="R13" s="13" t="str">
        <f t="shared" si="25"/>
        <v>#DIV/0!</v>
      </c>
      <c r="S13" s="13" t="str">
        <f t="shared" si="25"/>
        <v>#DIV/0!</v>
      </c>
      <c r="T13" s="13">
        <f t="shared" si="25"/>
        <v>0.004641875966</v>
      </c>
      <c r="U13" s="13">
        <f t="shared" si="25"/>
        <v>0.004641875966</v>
      </c>
      <c r="V13" s="13">
        <f t="shared" si="25"/>
        <v>0</v>
      </c>
      <c r="W13" s="13">
        <f t="shared" si="25"/>
        <v>0</v>
      </c>
      <c r="X13" s="13">
        <f t="shared" si="25"/>
        <v>0</v>
      </c>
      <c r="Y13" s="13">
        <f t="shared" si="25"/>
        <v>0</v>
      </c>
      <c r="Z13" s="13">
        <f t="shared" si="25"/>
        <v>0</v>
      </c>
      <c r="AA13" s="13">
        <f t="shared" si="25"/>
        <v>0</v>
      </c>
      <c r="AB13" s="13">
        <f t="shared" si="25"/>
        <v>0</v>
      </c>
      <c r="AC13" s="13">
        <f t="shared" si="25"/>
        <v>0</v>
      </c>
      <c r="AD13" s="13">
        <f t="shared" si="25"/>
        <v>0</v>
      </c>
      <c r="AE13" s="13">
        <f t="shared" si="25"/>
        <v>0</v>
      </c>
      <c r="AF13" s="13">
        <f t="shared" si="25"/>
        <v>0</v>
      </c>
      <c r="AG13" s="13">
        <f t="shared" si="25"/>
        <v>0</v>
      </c>
      <c r="AH13" s="13">
        <f t="shared" si="25"/>
        <v>0</v>
      </c>
    </row>
    <row r="14">
      <c r="A14" s="14" t="s">
        <v>39</v>
      </c>
      <c r="B14" s="13">
        <f t="shared" ref="B14:AH14" si="26">B7/B4</f>
        <v>0.9803742628</v>
      </c>
      <c r="C14" s="13">
        <f t="shared" si="26"/>
        <v>0.967088387</v>
      </c>
      <c r="D14" s="13">
        <f t="shared" si="26"/>
        <v>0.967088387</v>
      </c>
      <c r="E14" s="13">
        <f t="shared" si="26"/>
        <v>0.967088387</v>
      </c>
      <c r="F14" s="13" t="str">
        <f t="shared" si="26"/>
        <v>#DIV/0!</v>
      </c>
      <c r="G14" s="13">
        <f t="shared" si="26"/>
        <v>0.9935360045</v>
      </c>
      <c r="H14" s="13">
        <f t="shared" si="26"/>
        <v>0.9935360045</v>
      </c>
      <c r="I14" s="13">
        <f t="shared" si="26"/>
        <v>0.9935360045</v>
      </c>
      <c r="J14" s="13">
        <f t="shared" si="26"/>
        <v>0.9245768437</v>
      </c>
      <c r="K14" s="13">
        <f t="shared" si="26"/>
        <v>0.9245768437</v>
      </c>
      <c r="L14" s="13">
        <f t="shared" si="26"/>
        <v>0.3618325523</v>
      </c>
      <c r="M14" s="13">
        <f t="shared" si="26"/>
        <v>0.3356172919</v>
      </c>
      <c r="N14" s="13">
        <f t="shared" si="26"/>
        <v>-0.7474319984</v>
      </c>
      <c r="O14" s="13">
        <f t="shared" si="26"/>
        <v>0.16</v>
      </c>
      <c r="P14" s="13">
        <f t="shared" si="26"/>
        <v>0.3165687892</v>
      </c>
      <c r="Q14" s="13">
        <f t="shared" si="26"/>
        <v>0.3165687892</v>
      </c>
      <c r="R14" s="13" t="str">
        <f t="shared" si="26"/>
        <v>#DIV/0!</v>
      </c>
      <c r="S14" s="13" t="str">
        <f t="shared" si="26"/>
        <v>#DIV/0!</v>
      </c>
      <c r="T14" s="13">
        <f t="shared" si="26"/>
        <v>0.7134623905</v>
      </c>
      <c r="U14" s="13">
        <f t="shared" si="26"/>
        <v>0.7134623905</v>
      </c>
      <c r="V14" s="13">
        <f t="shared" si="26"/>
        <v>0.1600042013</v>
      </c>
      <c r="W14" s="13">
        <f t="shared" si="26"/>
        <v>0.1600042013</v>
      </c>
      <c r="X14" s="13">
        <f t="shared" si="26"/>
        <v>0.1600042013</v>
      </c>
      <c r="Y14" s="13">
        <f t="shared" si="26"/>
        <v>0.1600042013</v>
      </c>
      <c r="Z14" s="13">
        <f t="shared" si="26"/>
        <v>0.1600042013</v>
      </c>
      <c r="AA14" s="13">
        <f t="shared" si="26"/>
        <v>0.1600040441</v>
      </c>
      <c r="AB14" s="13">
        <f t="shared" si="26"/>
        <v>0.16</v>
      </c>
      <c r="AC14" s="13">
        <f t="shared" si="26"/>
        <v>0.16</v>
      </c>
      <c r="AD14" s="13">
        <f t="shared" si="26"/>
        <v>0.16</v>
      </c>
      <c r="AE14" s="13">
        <f t="shared" si="26"/>
        <v>0.16</v>
      </c>
      <c r="AF14" s="13">
        <f t="shared" si="26"/>
        <v>-0.01276959102</v>
      </c>
      <c r="AG14" s="13">
        <f t="shared" si="26"/>
        <v>0</v>
      </c>
      <c r="AH14" s="13">
        <f t="shared" si="26"/>
        <v>0</v>
      </c>
    </row>
    <row r="15">
      <c r="A15" s="14" t="s">
        <v>38</v>
      </c>
      <c r="B15" s="13">
        <f t="shared" ref="B15:AH15" si="27">B8/B4</f>
        <v>0</v>
      </c>
      <c r="C15" s="13">
        <f t="shared" si="27"/>
        <v>0</v>
      </c>
      <c r="D15" s="13">
        <f t="shared" si="27"/>
        <v>0</v>
      </c>
      <c r="E15" s="13">
        <f t="shared" si="27"/>
        <v>0</v>
      </c>
      <c r="F15" s="13" t="str">
        <f t="shared" si="27"/>
        <v>#DIV/0!</v>
      </c>
      <c r="G15" s="13">
        <f t="shared" si="27"/>
        <v>0</v>
      </c>
      <c r="H15" s="13">
        <f t="shared" si="27"/>
        <v>0</v>
      </c>
      <c r="I15" s="13">
        <f t="shared" si="27"/>
        <v>0</v>
      </c>
      <c r="J15" s="13">
        <f t="shared" si="27"/>
        <v>0</v>
      </c>
      <c r="K15" s="13">
        <f t="shared" si="27"/>
        <v>0</v>
      </c>
      <c r="L15" s="13">
        <f t="shared" si="27"/>
        <v>0.6182572866</v>
      </c>
      <c r="M15" s="13">
        <f t="shared" si="27"/>
        <v>0.5734637056</v>
      </c>
      <c r="N15" s="13">
        <f t="shared" si="27"/>
        <v>-1.277124671</v>
      </c>
      <c r="O15" s="13">
        <f t="shared" si="27"/>
        <v>0.84</v>
      </c>
      <c r="P15" s="13">
        <f t="shared" si="27"/>
        <v>0.6023738275</v>
      </c>
      <c r="Q15" s="13">
        <f t="shared" si="27"/>
        <v>0.6023738275</v>
      </c>
      <c r="R15" s="13" t="str">
        <f t="shared" si="27"/>
        <v>#DIV/0!</v>
      </c>
      <c r="S15" s="13" t="str">
        <f t="shared" si="27"/>
        <v>#DIV/0!</v>
      </c>
      <c r="T15" s="13">
        <f t="shared" si="27"/>
        <v>0.0000004319250528</v>
      </c>
      <c r="U15" s="13">
        <f t="shared" si="27"/>
        <v>0.0000004319250528</v>
      </c>
      <c r="V15" s="13">
        <f t="shared" si="27"/>
        <v>0.8399957987</v>
      </c>
      <c r="W15" s="13">
        <f t="shared" si="27"/>
        <v>0.8399957987</v>
      </c>
      <c r="X15" s="13">
        <f t="shared" si="27"/>
        <v>0.8399957987</v>
      </c>
      <c r="Y15" s="13">
        <f t="shared" si="27"/>
        <v>0.8399957987</v>
      </c>
      <c r="Z15" s="13">
        <f t="shared" si="27"/>
        <v>0.8399957987</v>
      </c>
      <c r="AA15" s="13">
        <f t="shared" si="27"/>
        <v>0.8399959559</v>
      </c>
      <c r="AB15" s="13">
        <f t="shared" si="27"/>
        <v>0.84</v>
      </c>
      <c r="AC15" s="13">
        <f t="shared" si="27"/>
        <v>0.84</v>
      </c>
      <c r="AD15" s="13">
        <f t="shared" si="27"/>
        <v>0.84</v>
      </c>
      <c r="AE15" s="13">
        <f t="shared" si="27"/>
        <v>0.84</v>
      </c>
      <c r="AF15" s="13">
        <f t="shared" si="27"/>
        <v>-0.0218191886</v>
      </c>
      <c r="AG15" s="13">
        <f t="shared" si="27"/>
        <v>0</v>
      </c>
      <c r="AH15" s="13">
        <f t="shared" si="27"/>
        <v>0</v>
      </c>
    </row>
    <row r="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>
      <c r="A17" s="12" t="s">
        <v>91</v>
      </c>
      <c r="B17" s="13"/>
      <c r="C17" s="13"/>
      <c r="D17" s="14">
        <v>60.0</v>
      </c>
      <c r="E17" s="14">
        <v>60.0</v>
      </c>
      <c r="F17" s="13"/>
      <c r="G17" s="14">
        <v>60.0</v>
      </c>
      <c r="H17" s="14">
        <v>60.0</v>
      </c>
      <c r="I17" s="14">
        <v>60.0</v>
      </c>
      <c r="J17" s="14">
        <v>60.0</v>
      </c>
      <c r="K17" s="14">
        <v>80.0</v>
      </c>
      <c r="L17" s="14">
        <v>80.0</v>
      </c>
      <c r="M17" s="14">
        <f>L17+10</f>
        <v>90</v>
      </c>
      <c r="N17" s="14">
        <f>M17</f>
        <v>90</v>
      </c>
      <c r="O17" s="14">
        <v>30.0</v>
      </c>
      <c r="P17" s="14">
        <v>70.0</v>
      </c>
      <c r="Q17" s="14">
        <v>70.0</v>
      </c>
      <c r="R17" s="14">
        <v>102.5</v>
      </c>
      <c r="S17" s="14">
        <v>103.0</v>
      </c>
      <c r="T17" s="14">
        <v>103.0</v>
      </c>
      <c r="U17" s="14">
        <v>103.0</v>
      </c>
      <c r="V17" s="14">
        <v>80.0</v>
      </c>
      <c r="W17" s="14">
        <v>79.6</v>
      </c>
      <c r="X17" s="14">
        <v>79.6</v>
      </c>
      <c r="Y17" s="14">
        <v>79.6</v>
      </c>
      <c r="Z17" s="14">
        <v>79.6</v>
      </c>
      <c r="AA17" s="14">
        <v>79.6</v>
      </c>
      <c r="AB17" s="14">
        <v>25.0</v>
      </c>
      <c r="AC17" s="14">
        <v>80.0</v>
      </c>
      <c r="AD17" s="14">
        <v>25.0</v>
      </c>
      <c r="AE17" s="14">
        <v>25.0</v>
      </c>
      <c r="AF17" s="14">
        <v>25.0</v>
      </c>
      <c r="AG17" s="14">
        <v>25.0</v>
      </c>
      <c r="AH17" s="14">
        <v>25.0</v>
      </c>
    </row>
    <row r="18">
      <c r="A18" s="12" t="s">
        <v>92</v>
      </c>
      <c r="B18" s="13"/>
      <c r="C18" s="13"/>
      <c r="D18" s="14">
        <v>1.01</v>
      </c>
      <c r="E18" s="13">
        <f>J18+'Assumptions and Design Requirem'!D23</f>
        <v>6.743093976</v>
      </c>
      <c r="F18" s="13"/>
      <c r="G18" s="14">
        <v>0.08618447</v>
      </c>
      <c r="H18" s="14">
        <v>0.08618447</v>
      </c>
      <c r="I18" s="14">
        <v>0.08618447</v>
      </c>
      <c r="J18" s="14">
        <v>0.08618447</v>
      </c>
      <c r="K18" s="14">
        <v>0.2</v>
      </c>
      <c r="L18" s="14">
        <v>0.10665789473684</v>
      </c>
      <c r="M18" s="14">
        <v>2.0</v>
      </c>
      <c r="N18" s="14">
        <v>2.0</v>
      </c>
      <c r="O18" s="14">
        <v>0.2</v>
      </c>
      <c r="P18" s="14">
        <v>0.0</v>
      </c>
      <c r="Q18" s="14">
        <v>0.0867500000000001</v>
      </c>
      <c r="R18" s="14">
        <v>0.0933257</v>
      </c>
      <c r="S18" s="14">
        <v>0.106658</v>
      </c>
      <c r="T18" s="14">
        <v>0.10665789473684</v>
      </c>
      <c r="U18" s="14">
        <v>0.2</v>
      </c>
      <c r="V18" s="14">
        <v>0.0133322</v>
      </c>
      <c r="W18" s="14">
        <v>0.0133322</v>
      </c>
      <c r="X18" s="14">
        <v>0.0</v>
      </c>
      <c r="Y18" s="14">
        <v>0.0</v>
      </c>
      <c r="Z18" s="14">
        <v>0.0</v>
      </c>
      <c r="AA18" s="14">
        <v>0.0</v>
      </c>
      <c r="AB18" s="14">
        <v>0.2</v>
      </c>
      <c r="AC18" s="14">
        <v>0.2</v>
      </c>
      <c r="AD18" s="14">
        <v>0.0</v>
      </c>
      <c r="AE18" s="14">
        <v>0.2</v>
      </c>
      <c r="AF18" s="14" t="s">
        <v>93</v>
      </c>
      <c r="AG18" s="14" t="s">
        <v>93</v>
      </c>
      <c r="AH18" s="14" t="s">
        <v>93</v>
      </c>
    </row>
    <row r="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>
      <c r="A20" s="12" t="s">
        <v>94</v>
      </c>
      <c r="B20" s="13"/>
      <c r="C20" s="13"/>
      <c r="D20" s="13"/>
      <c r="E20" s="14">
        <v>-3.93914594545859E8</v>
      </c>
      <c r="F20" s="13"/>
      <c r="G20" s="14">
        <v>-2.494792432911E8</v>
      </c>
      <c r="H20" s="14">
        <v>-2.00967589457433E9</v>
      </c>
      <c r="I20" s="14">
        <v>-2.3446734450942E9</v>
      </c>
      <c r="J20" s="14">
        <v>-2.71488504179988E9</v>
      </c>
      <c r="K20" s="14">
        <v>-2.71488504179988E9</v>
      </c>
      <c r="L20" s="14">
        <v>-9.66636236151826E9</v>
      </c>
      <c r="M20" s="13"/>
      <c r="N20" s="13"/>
      <c r="O20" s="13"/>
      <c r="P20" s="13"/>
      <c r="Q20" s="13"/>
      <c r="R20" s="14">
        <v>-6.56413039194684E8</v>
      </c>
      <c r="S20" s="14">
        <v>-2.48353866672032E8</v>
      </c>
      <c r="T20" s="14">
        <v>-1.23409265438122E8</v>
      </c>
      <c r="U20" s="13"/>
      <c r="V20" s="13"/>
      <c r="W20" s="14">
        <v>-8.04497398611592E9</v>
      </c>
      <c r="X20" s="14">
        <v>-9.28233225069073E9</v>
      </c>
      <c r="Y20" s="14">
        <v>-9.28233225069073E9</v>
      </c>
      <c r="Z20" s="14">
        <v>-9.82677073663201E7</v>
      </c>
      <c r="AA20" s="14">
        <v>-2.09899700493652E8</v>
      </c>
      <c r="AB20" s="13"/>
      <c r="AC20" s="13"/>
      <c r="AD20" s="13"/>
      <c r="AE20" s="13"/>
      <c r="AF20" s="13"/>
      <c r="AG20" s="13"/>
      <c r="AH20" s="13"/>
    </row>
    <row r="24">
      <c r="K24" s="5"/>
      <c r="N24" s="5"/>
      <c r="O24" s="2" t="s">
        <v>95</v>
      </c>
      <c r="T24" s="16" t="s">
        <v>63</v>
      </c>
      <c r="U24" s="16" t="s">
        <v>82</v>
      </c>
      <c r="V24" s="16" t="s">
        <v>83</v>
      </c>
    </row>
    <row r="25">
      <c r="J25" s="5">
        <f>60/(2*pi()*L25)</f>
        <v>0.005334717379</v>
      </c>
      <c r="K25" s="2" t="s">
        <v>96</v>
      </c>
      <c r="L25" s="17">
        <f>L28/(6*PI()*L26*L27)</f>
        <v>1790.028582</v>
      </c>
      <c r="M25" s="18" t="s">
        <v>97</v>
      </c>
      <c r="N25" s="5"/>
      <c r="P25" s="12" t="s">
        <v>86</v>
      </c>
    </row>
    <row r="26">
      <c r="K26" s="5" t="s">
        <v>98</v>
      </c>
      <c r="L26" s="4">
        <v>35.0</v>
      </c>
      <c r="M26" s="5" t="s">
        <v>99</v>
      </c>
      <c r="N26" s="5"/>
      <c r="P26" s="14" t="s">
        <v>87</v>
      </c>
      <c r="T26" s="3">
        <v>37560.276915312556</v>
      </c>
      <c r="U26" s="3">
        <v>4727.550237025375</v>
      </c>
      <c r="V26" s="3">
        <f>sum(V27:V30)</f>
        <v>2497.383215</v>
      </c>
    </row>
    <row r="27">
      <c r="K27" s="5" t="s">
        <v>100</v>
      </c>
      <c r="L27" s="4">
        <f>10/2000000</f>
        <v>0.000005</v>
      </c>
      <c r="M27" s="5" t="s">
        <v>101</v>
      </c>
      <c r="N27" s="5"/>
      <c r="P27" s="14" t="s">
        <v>88</v>
      </c>
      <c r="T27" s="3">
        <v>688.1881881881882</v>
      </c>
      <c r="U27" s="2">
        <v>0.0</v>
      </c>
      <c r="V27" s="3">
        <f>T27*0.95</f>
        <v>653.7787788</v>
      </c>
    </row>
    <row r="28">
      <c r="K28" s="5" t="s">
        <v>101</v>
      </c>
      <c r="L28" s="4">
        <f>L36* 714</f>
        <v>5.904717675</v>
      </c>
      <c r="M28" s="19" t="s">
        <v>102</v>
      </c>
      <c r="N28" s="5"/>
      <c r="P28" s="14" t="s">
        <v>89</v>
      </c>
      <c r="T28" s="3">
        <v>59.64297630964299</v>
      </c>
      <c r="U28" s="3">
        <v>0.0</v>
      </c>
      <c r="V28" s="3">
        <f t="shared" ref="V28:V30" si="28">T28*0.05</f>
        <v>2.982148815</v>
      </c>
    </row>
    <row r="29">
      <c r="K29" s="5" t="s">
        <v>103</v>
      </c>
      <c r="L29" s="5"/>
      <c r="M29" s="5" t="s">
        <v>101</v>
      </c>
      <c r="N29" s="5"/>
      <c r="P29" s="14" t="s">
        <v>39</v>
      </c>
      <c r="T29" s="3">
        <v>13590.530859669896</v>
      </c>
      <c r="U29" s="3">
        <v>756.4080379240601</v>
      </c>
      <c r="V29" s="3">
        <f t="shared" si="28"/>
        <v>679.526543</v>
      </c>
    </row>
    <row r="30">
      <c r="K30" s="5" t="s">
        <v>104</v>
      </c>
      <c r="L30" s="5">
        <f>J25*2*pi()/60</f>
        <v>0.0005586502976</v>
      </c>
      <c r="M30" s="5" t="s">
        <v>105</v>
      </c>
      <c r="N30" s="5"/>
      <c r="P30" s="14" t="s">
        <v>38</v>
      </c>
      <c r="T30" s="3">
        <v>23221.914891144825</v>
      </c>
      <c r="U30" s="3">
        <v>3971.142199101315</v>
      </c>
      <c r="V30" s="3">
        <f t="shared" si="28"/>
        <v>1161.095745</v>
      </c>
    </row>
    <row r="31">
      <c r="K31" s="5" t="s">
        <v>106</v>
      </c>
      <c r="L31" s="5">
        <f>L25*L30*L29</f>
        <v>0</v>
      </c>
      <c r="M31" s="5" t="s">
        <v>107</v>
      </c>
      <c r="N31" s="5"/>
    </row>
    <row r="32">
      <c r="L32" s="3" t="str">
        <f>L31/(L29*(L30)^2)</f>
        <v>#DIV/0!</v>
      </c>
    </row>
    <row r="34">
      <c r="T34" s="3">
        <f>((V30/0.78)+(V27/1.5)+V29)/(1000)</f>
        <v>2.60396335</v>
      </c>
      <c r="U34" s="2" t="s">
        <v>108</v>
      </c>
    </row>
    <row r="35">
      <c r="K35" s="2" t="s">
        <v>109</v>
      </c>
      <c r="L35" s="20">
        <f>9.81*(L41)*((L27*2)^2)/(18*L39)</f>
        <v>0.000000001121142857</v>
      </c>
      <c r="M35" s="2" t="s">
        <v>107</v>
      </c>
      <c r="T35" s="2">
        <f>((V30/0.78)+(V27/1.5)+V29)</f>
        <v>2603.96335</v>
      </c>
      <c r="U35" s="2" t="s">
        <v>11</v>
      </c>
    </row>
    <row r="36">
      <c r="K36" s="2" t="s">
        <v>110</v>
      </c>
      <c r="L36" s="4">
        <f>(L8/0.78)/(3600*1000)</f>
        <v>0.008269912711</v>
      </c>
      <c r="M36" s="19" t="s">
        <v>111</v>
      </c>
    </row>
    <row r="37">
      <c r="K37" s="2" t="s">
        <v>110</v>
      </c>
      <c r="L37" s="4">
        <f>L36*3600</f>
        <v>29.77168576</v>
      </c>
      <c r="M37" s="2" t="s">
        <v>108</v>
      </c>
    </row>
    <row r="38">
      <c r="K38" s="2" t="s">
        <v>112</v>
      </c>
      <c r="L38" s="21">
        <f>L36/(2*L35)</f>
        <v>3688161.887</v>
      </c>
      <c r="M38" s="2" t="s">
        <v>113</v>
      </c>
    </row>
    <row r="39">
      <c r="K39" s="2" t="s">
        <v>114</v>
      </c>
      <c r="L39" s="2">
        <v>35.0</v>
      </c>
      <c r="M39" s="5" t="s">
        <v>99</v>
      </c>
    </row>
    <row r="40">
      <c r="K40" s="2" t="s">
        <v>115</v>
      </c>
      <c r="L40" s="3">
        <f>1.5-0.78</f>
        <v>0.72</v>
      </c>
    </row>
    <row r="41">
      <c r="K41" s="2" t="s">
        <v>116</v>
      </c>
      <c r="L41" s="3">
        <f>1000*(1.5-0.78)</f>
        <v>720</v>
      </c>
    </row>
    <row r="42">
      <c r="K42" s="2" t="s">
        <v>117</v>
      </c>
      <c r="L42" s="20">
        <f>2*L35</f>
        <v>0.000000002242285714</v>
      </c>
    </row>
  </sheetData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3" width="7.0"/>
    <col customWidth="1" min="4" max="5" width="6.13"/>
    <col customWidth="1" min="6" max="7" width="7.0"/>
    <col customWidth="1" min="8" max="9" width="6.13"/>
    <col customWidth="1" min="10" max="12" width="7.0"/>
    <col customWidth="1" min="13" max="13" width="5.13"/>
  </cols>
  <sheetData>
    <row r="1">
      <c r="B1" s="16" t="s">
        <v>55</v>
      </c>
      <c r="C1" s="16" t="s">
        <v>58</v>
      </c>
      <c r="D1" s="16" t="s">
        <v>61</v>
      </c>
      <c r="E1" s="16" t="s">
        <v>62</v>
      </c>
      <c r="F1" s="16" t="s">
        <v>63</v>
      </c>
      <c r="G1" s="16" t="s">
        <v>64</v>
      </c>
      <c r="H1" s="16" t="s">
        <v>65</v>
      </c>
      <c r="I1" s="16" t="s">
        <v>66</v>
      </c>
      <c r="J1" s="16" t="s">
        <v>68</v>
      </c>
      <c r="K1" s="16" t="s">
        <v>72</v>
      </c>
      <c r="L1" s="16" t="s">
        <v>78</v>
      </c>
      <c r="M1" s="16" t="s">
        <v>85</v>
      </c>
    </row>
    <row r="2">
      <c r="A2" s="22" t="s">
        <v>86</v>
      </c>
    </row>
    <row r="3">
      <c r="A3" s="16" t="s">
        <v>87</v>
      </c>
      <c r="B3" s="23">
        <v>25852.6026026026</v>
      </c>
      <c r="C3" s="23">
        <v>15937.462462462461</v>
      </c>
      <c r="D3" s="23">
        <v>9915.140140140142</v>
      </c>
      <c r="E3" s="23">
        <v>9915.140140140142</v>
      </c>
      <c r="F3" s="23">
        <v>37560.276915312556</v>
      </c>
      <c r="G3" s="23">
        <v>35062.89370017755</v>
      </c>
      <c r="H3" s="23">
        <v>2497.3832151349993</v>
      </c>
      <c r="I3" s="23">
        <v>4680.274734655121</v>
      </c>
      <c r="J3" s="23">
        <v>39743.168434832674</v>
      </c>
      <c r="K3" s="23">
        <v>23632.06582093297</v>
      </c>
      <c r="L3" s="23">
        <v>15319.194457215019</v>
      </c>
      <c r="M3" s="23">
        <v>653.7787787787788</v>
      </c>
    </row>
    <row r="4">
      <c r="A4" s="16" t="s">
        <v>88</v>
      </c>
      <c r="B4" s="23">
        <v>688.1881881881882</v>
      </c>
      <c r="C4" s="23">
        <v>0.0</v>
      </c>
      <c r="D4" s="23">
        <v>688.1881881881882</v>
      </c>
      <c r="E4" s="23">
        <v>688.1881881881882</v>
      </c>
      <c r="F4" s="23">
        <v>688.1881881881882</v>
      </c>
      <c r="G4" s="24">
        <v>34.40940940940941</v>
      </c>
      <c r="H4" s="23">
        <v>653.7787787787788</v>
      </c>
      <c r="I4" s="23">
        <v>0.0</v>
      </c>
      <c r="J4" s="23">
        <v>34.40940940940941</v>
      </c>
      <c r="K4" s="23">
        <v>34.40940940940941</v>
      </c>
      <c r="L4" s="24">
        <v>0.0</v>
      </c>
      <c r="M4" s="23">
        <v>653.7787787787788</v>
      </c>
    </row>
    <row r="5">
      <c r="A5" s="16" t="s">
        <v>89</v>
      </c>
      <c r="B5" s="23">
        <v>162.66266266266265</v>
      </c>
      <c r="C5" s="23">
        <v>103.01968635301967</v>
      </c>
      <c r="D5" s="23">
        <v>59.64297630964299</v>
      </c>
      <c r="E5" s="23">
        <v>59.64297630964299</v>
      </c>
      <c r="F5" s="23">
        <v>59.64297630964299</v>
      </c>
      <c r="G5" s="23">
        <v>56.660827494160834</v>
      </c>
      <c r="H5" s="23">
        <v>2.982148815482155</v>
      </c>
      <c r="I5" s="23">
        <v>0.0</v>
      </c>
      <c r="J5" s="23">
        <v>56.660827494160834</v>
      </c>
      <c r="K5" s="23">
        <v>56.660827494160834</v>
      </c>
      <c r="L5" s="24">
        <v>0.0</v>
      </c>
      <c r="M5" s="23">
        <v>0.0</v>
      </c>
    </row>
    <row r="6">
      <c r="A6" s="16" t="s">
        <v>39</v>
      </c>
      <c r="B6" s="23">
        <v>25001.75175175175</v>
      </c>
      <c r="C6" s="23">
        <v>15834.442776109441</v>
      </c>
      <c r="D6" s="23">
        <v>9167.30897564231</v>
      </c>
      <c r="E6" s="23">
        <v>9167.30897564231</v>
      </c>
      <c r="F6" s="23">
        <v>13590.530859669896</v>
      </c>
      <c r="G6" s="23">
        <v>12911.0043166864</v>
      </c>
      <c r="H6" s="23">
        <v>679.5265429834963</v>
      </c>
      <c r="I6" s="23">
        <v>748.8439575448194</v>
      </c>
      <c r="J6" s="23">
        <v>13659.848274231219</v>
      </c>
      <c r="K6" s="23">
        <v>23540.9955840294</v>
      </c>
      <c r="L6" s="24">
        <v>2450.92307866692</v>
      </c>
      <c r="M6" s="23">
        <v>0.0</v>
      </c>
    </row>
    <row r="7">
      <c r="A7" s="16" t="s">
        <v>38</v>
      </c>
      <c r="B7" s="23">
        <v>0.0</v>
      </c>
      <c r="C7" s="23">
        <v>0.0</v>
      </c>
      <c r="D7" s="24">
        <v>0.0</v>
      </c>
      <c r="E7" s="23">
        <v>0.0</v>
      </c>
      <c r="F7" s="23">
        <v>23221.914891144825</v>
      </c>
      <c r="G7" s="23">
        <v>22060.819146587583</v>
      </c>
      <c r="H7" s="23">
        <v>1161.0957445572421</v>
      </c>
      <c r="I7" s="23">
        <v>3931.4307771103017</v>
      </c>
      <c r="J7" s="23">
        <v>25992.249923697884</v>
      </c>
      <c r="K7" s="23">
        <v>0.0</v>
      </c>
      <c r="L7" s="24">
        <v>12868.2713785481</v>
      </c>
      <c r="M7" s="23">
        <v>0.0</v>
      </c>
    </row>
    <row r="8">
      <c r="A8" s="22" t="s">
        <v>91</v>
      </c>
      <c r="B8" s="24">
        <v>60.0</v>
      </c>
      <c r="C8" s="24">
        <v>60.0</v>
      </c>
      <c r="D8" s="24">
        <v>60.0</v>
      </c>
      <c r="E8" s="24">
        <v>80.0</v>
      </c>
      <c r="F8" s="24">
        <v>80.0</v>
      </c>
      <c r="G8" s="24">
        <v>80.0</v>
      </c>
      <c r="H8" s="24">
        <v>80.0</v>
      </c>
      <c r="I8" s="24">
        <v>30.0</v>
      </c>
      <c r="J8" s="24">
        <v>70.0</v>
      </c>
      <c r="K8" s="24">
        <v>103.0</v>
      </c>
      <c r="L8" s="24">
        <v>79.6</v>
      </c>
      <c r="M8" s="24">
        <v>25.0</v>
      </c>
    </row>
    <row r="9">
      <c r="A9" s="22" t="s">
        <v>92</v>
      </c>
      <c r="B9" s="24">
        <v>1.01</v>
      </c>
      <c r="C9" s="24">
        <v>0.08618447</v>
      </c>
      <c r="D9" s="24">
        <v>0.08618447</v>
      </c>
      <c r="E9" s="24">
        <v>0.2</v>
      </c>
      <c r="F9" s="24">
        <v>0.25</v>
      </c>
      <c r="G9" s="24">
        <v>2.0</v>
      </c>
      <c r="H9" s="24">
        <v>2.0</v>
      </c>
      <c r="I9" s="24">
        <v>0.2</v>
      </c>
      <c r="J9" s="24">
        <v>0.0867500000000001</v>
      </c>
      <c r="K9" s="24">
        <v>0.2</v>
      </c>
      <c r="L9" s="24">
        <v>0.0</v>
      </c>
      <c r="M9" s="24" t="s">
        <v>93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3" width="5.63"/>
    <col customWidth="1" min="4" max="4" width="4.75"/>
    <col customWidth="1" min="5" max="6" width="5.63"/>
    <col customWidth="1" min="7" max="8" width="4.75"/>
    <col customWidth="1" min="9" max="12" width="5.63"/>
    <col customWidth="1" min="13" max="13" width="4.5"/>
  </cols>
  <sheetData>
    <row r="2">
      <c r="B2" s="16" t="s">
        <v>56</v>
      </c>
      <c r="C2" s="16" t="s">
        <v>58</v>
      </c>
      <c r="D2" s="16" t="s">
        <v>61</v>
      </c>
      <c r="E2" s="16" t="s">
        <v>63</v>
      </c>
      <c r="F2" s="16" t="s">
        <v>64</v>
      </c>
      <c r="G2" s="16" t="s">
        <v>65</v>
      </c>
      <c r="H2" s="16" t="s">
        <v>66</v>
      </c>
      <c r="I2" s="16" t="s">
        <v>68</v>
      </c>
      <c r="J2" s="16" t="s">
        <v>71</v>
      </c>
      <c r="K2" s="16" t="s">
        <v>78</v>
      </c>
      <c r="L2" s="16" t="s">
        <v>80</v>
      </c>
      <c r="M2" s="16" t="s">
        <v>85</v>
      </c>
    </row>
    <row r="3">
      <c r="A3" s="22" t="s">
        <v>86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>
      <c r="A4" s="16" t="s">
        <v>87</v>
      </c>
      <c r="B4" s="21">
        <v>25790.04004004004</v>
      </c>
      <c r="C4" s="21">
        <v>16776.276276276272</v>
      </c>
      <c r="D4" s="21">
        <v>9013.763763763764</v>
      </c>
      <c r="E4" s="21">
        <v>36658.90053893617</v>
      </c>
      <c r="F4" s="21">
        <v>34262.8924489263</v>
      </c>
      <c r="G4" s="21">
        <v>2396.0080900098724</v>
      </c>
      <c r="H4" s="21">
        <v>4680.274734655121</v>
      </c>
      <c r="I4" s="21">
        <v>38943.16718358142</v>
      </c>
      <c r="J4" s="21">
        <f t="shared" ref="J4:K4" si="1">sum(J5:J8)</f>
        <v>24138.05097</v>
      </c>
      <c r="K4" s="21">
        <f t="shared" si="1"/>
        <v>15319.19446</v>
      </c>
      <c r="L4" s="21">
        <v>27645.13677517241</v>
      </c>
      <c r="M4" s="21">
        <v>594.3443443443443</v>
      </c>
    </row>
    <row r="5">
      <c r="A5" s="16" t="s">
        <v>88</v>
      </c>
      <c r="B5" s="21">
        <v>625.6256256256256</v>
      </c>
      <c r="C5" s="21">
        <v>0.0</v>
      </c>
      <c r="D5" s="21">
        <v>625.6256256256256</v>
      </c>
      <c r="E5" s="21">
        <v>625.6256256256256</v>
      </c>
      <c r="F5" s="25">
        <v>31.28128128128128</v>
      </c>
      <c r="G5" s="21">
        <v>594.3443443443443</v>
      </c>
      <c r="H5" s="21">
        <v>0.0</v>
      </c>
      <c r="I5" s="21">
        <v>31.28128128128128</v>
      </c>
      <c r="J5" s="21">
        <f t="shared" ref="J5:J6" si="2">G5</f>
        <v>594.3443443</v>
      </c>
      <c r="K5" s="25">
        <v>0.0</v>
      </c>
      <c r="L5" s="25">
        <v>0.0</v>
      </c>
      <c r="M5" s="21">
        <v>594.3443443443443</v>
      </c>
    </row>
    <row r="6">
      <c r="A6" s="16" t="s">
        <v>89</v>
      </c>
      <c r="B6" s="21">
        <v>162.66266266266265</v>
      </c>
      <c r="C6" s="21">
        <v>108.44177510844176</v>
      </c>
      <c r="D6" s="21">
        <v>54.220887554220894</v>
      </c>
      <c r="E6" s="21">
        <v>54.220887554220894</v>
      </c>
      <c r="F6" s="21">
        <v>51.50984317650985</v>
      </c>
      <c r="G6" s="21">
        <v>2.7110443777110476</v>
      </c>
      <c r="H6" s="21">
        <v>0.0</v>
      </c>
      <c r="I6" s="21">
        <v>51.50984317650985</v>
      </c>
      <c r="J6" s="21">
        <f t="shared" si="2"/>
        <v>2.711044378</v>
      </c>
      <c r="K6" s="25">
        <v>0.0</v>
      </c>
      <c r="L6" s="25">
        <v>0.0</v>
      </c>
      <c r="M6" s="21">
        <v>0.0</v>
      </c>
    </row>
    <row r="7">
      <c r="A7" s="16" t="s">
        <v>39</v>
      </c>
      <c r="B7" s="21">
        <v>25001.75175175175</v>
      </c>
      <c r="C7" s="21">
        <v>16667.834501167832</v>
      </c>
      <c r="D7" s="21">
        <v>8333.917250583918</v>
      </c>
      <c r="E7" s="21">
        <v>12757.139134611503</v>
      </c>
      <c r="F7" s="21">
        <v>12119.282177880928</v>
      </c>
      <c r="G7" s="21">
        <v>637.8569567305749</v>
      </c>
      <c r="H7" s="21">
        <v>748.8439575448194</v>
      </c>
      <c r="I7" s="21">
        <v>12868.126135425748</v>
      </c>
      <c r="J7" s="25">
        <v>23540.9955840294</v>
      </c>
      <c r="K7" s="25">
        <v>2450.92307866692</v>
      </c>
      <c r="L7" s="21">
        <v>4423.2218840275855</v>
      </c>
      <c r="M7" s="21">
        <v>0.0</v>
      </c>
    </row>
    <row r="8">
      <c r="A8" s="16" t="s">
        <v>38</v>
      </c>
      <c r="B8" s="21">
        <v>0.0</v>
      </c>
      <c r="C8" s="21">
        <v>0.0</v>
      </c>
      <c r="D8" s="25">
        <v>0.0</v>
      </c>
      <c r="E8" s="21">
        <v>23221.914891144825</v>
      </c>
      <c r="F8" s="21">
        <v>22060.819146587583</v>
      </c>
      <c r="G8" s="21">
        <v>1161.0957445572421</v>
      </c>
      <c r="H8" s="21">
        <v>3931.4307771103017</v>
      </c>
      <c r="I8" s="21">
        <v>25992.249923697884</v>
      </c>
      <c r="J8" s="25">
        <v>0.0</v>
      </c>
      <c r="K8" s="25">
        <v>12868.2713785481</v>
      </c>
      <c r="L8" s="21">
        <v>23221.914891144825</v>
      </c>
      <c r="M8" s="21">
        <v>0.0</v>
      </c>
    </row>
    <row r="9">
      <c r="A9" s="22" t="s">
        <v>118</v>
      </c>
      <c r="B9" s="25">
        <v>25.0</v>
      </c>
      <c r="C9" s="25">
        <v>25.0</v>
      </c>
      <c r="D9" s="25">
        <v>25.0</v>
      </c>
      <c r="E9" s="25">
        <v>25.0</v>
      </c>
      <c r="F9" s="25">
        <v>25.0</v>
      </c>
      <c r="G9" s="25">
        <v>25.0</v>
      </c>
      <c r="H9" s="25">
        <v>25.0</v>
      </c>
      <c r="I9" s="25">
        <v>25.0</v>
      </c>
      <c r="J9" s="25">
        <v>104.839210489577</v>
      </c>
      <c r="K9" s="25">
        <v>80.198021892402</v>
      </c>
      <c r="L9" s="25">
        <v>25.0</v>
      </c>
      <c r="M9" s="25">
        <v>25.0</v>
      </c>
    </row>
  </sheetData>
  <drawing r:id="rId1"/>
</worksheet>
</file>