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ital Costing" sheetId="1" r:id="rId4"/>
    <sheet state="visible" name="Utility and Manufacturing Costs" sheetId="2" r:id="rId5"/>
    <sheet state="visible" name="Vessel Sizing" sheetId="3" r:id="rId6"/>
    <sheet state="visible" name="COM_d" sheetId="4" r:id="rId7"/>
    <sheet state="visible" name="Profitability Analysis" sheetId="5" r:id="rId8"/>
    <sheet state="visible" name="for final report" sheetId="6" r:id="rId9"/>
  </sheets>
  <definedNames/>
  <calcPr/>
</workbook>
</file>

<file path=xl/sharedStrings.xml><?xml version="1.0" encoding="utf-8"?>
<sst xmlns="http://schemas.openxmlformats.org/spreadsheetml/2006/main" count="344" uniqueCount="205">
  <si>
    <t>**using mass balance V2</t>
  </si>
  <si>
    <t>Total (with UF)</t>
  </si>
  <si>
    <t>Total (without UF)</t>
  </si>
  <si>
    <t>Unit</t>
  </si>
  <si>
    <t>Min Capacity (L)</t>
  </si>
  <si>
    <t>Assume 80% full (L)</t>
  </si>
  <si>
    <t>m^3</t>
  </si>
  <si>
    <t>note</t>
  </si>
  <si>
    <t>Height/Diameter</t>
  </si>
  <si>
    <t>Cp</t>
  </si>
  <si>
    <t>Fm</t>
  </si>
  <si>
    <t>Fp</t>
  </si>
  <si>
    <t>Fbm</t>
  </si>
  <si>
    <t>cbm</t>
  </si>
  <si>
    <t>inflation</t>
  </si>
  <si>
    <t>total</t>
  </si>
  <si>
    <t>V-101</t>
  </si>
  <si>
    <t>use H=9 and D=3</t>
  </si>
  <si>
    <t>*CS, vertical, fig 5.44</t>
  </si>
  <si>
    <t>TK-101</t>
  </si>
  <si>
    <t>*stream 6, recycled broth</t>
  </si>
  <si>
    <t>*CS, cone roof, fig 5.61</t>
  </si>
  <si>
    <t>Tk-102</t>
  </si>
  <si>
    <t>*stream 9, after UF</t>
  </si>
  <si>
    <t>TK-103</t>
  </si>
  <si>
    <t>333 days</t>
  </si>
  <si>
    <t xml:space="preserve">*7 day supply, floating roof due to flammability </t>
  </si>
  <si>
    <t>TK-104</t>
  </si>
  <si>
    <t>*mixed IPA storage</t>
  </si>
  <si>
    <t>TK-105</t>
  </si>
  <si>
    <t>*stream 20 to WWT</t>
  </si>
  <si>
    <t>TK-106</t>
  </si>
  <si>
    <t>*stream 33, out of scope??</t>
  </si>
  <si>
    <t xml:space="preserve">V-102 </t>
  </si>
  <si>
    <t>*waste liqour, stream 12 and 14</t>
  </si>
  <si>
    <t>V-103</t>
  </si>
  <si>
    <t>*reflux drum, stream 22</t>
  </si>
  <si>
    <t>Total Tank/Vessel Costs:</t>
  </si>
  <si>
    <t xml:space="preserve">total tank </t>
  </si>
  <si>
    <t>*CS, 5 min residence time, vertical orientation</t>
  </si>
  <si>
    <t>Heat Exchangers</t>
  </si>
  <si>
    <t>Equipment Description</t>
  </si>
  <si>
    <t>A (m^2)</t>
  </si>
  <si>
    <t>Fbm alpha</t>
  </si>
  <si>
    <t>Cbm</t>
  </si>
  <si>
    <t>E-103</t>
  </si>
  <si>
    <t>Precipitation Preheater</t>
  </si>
  <si>
    <t>*shell and tube double pipe CS, figure 5.36</t>
  </si>
  <si>
    <t>E-102</t>
  </si>
  <si>
    <t>Column Reboiler</t>
  </si>
  <si>
    <t>E-101</t>
  </si>
  <si>
    <t>Column Condenser</t>
  </si>
  <si>
    <t>*Going with Air Cooler condenser based on I over C analysis, see spreadsheet in Sizing/Costing folder</t>
  </si>
  <si>
    <t>total EX</t>
  </si>
  <si>
    <t>Column Vessel</t>
  </si>
  <si>
    <t>Description</t>
  </si>
  <si>
    <t>Diameter (m)</t>
  </si>
  <si>
    <t># Aspen Stages</t>
  </si>
  <si>
    <t>Tray Efficiency</t>
  </si>
  <si>
    <t># Actual Trays</t>
  </si>
  <si>
    <t>Tray Spacing (m)</t>
  </si>
  <si>
    <t>Vapor Liquid Disengagement Space (m)</t>
  </si>
  <si>
    <t>Total Height (m)</t>
  </si>
  <si>
    <t>Inflation</t>
  </si>
  <si>
    <t>Total Column</t>
  </si>
  <si>
    <t>IPA Column Vessel</t>
  </si>
  <si>
    <t>Column Trays</t>
  </si>
  <si>
    <t>Tray Type</t>
  </si>
  <si>
    <t>Number of Trays</t>
  </si>
  <si>
    <t>Cpss</t>
  </si>
  <si>
    <t>Fq</t>
  </si>
  <si>
    <t>Total</t>
  </si>
  <si>
    <t>Sieve Tray</t>
  </si>
  <si>
    <t>Pumps</t>
  </si>
  <si>
    <t>Equipment Number</t>
  </si>
  <si>
    <t>Mass Flow (kg/hr)</t>
  </si>
  <si>
    <t>Density (kg/m^3)</t>
  </si>
  <si>
    <t>deltaP (bar)</t>
  </si>
  <si>
    <t>deltaP (Pa)</t>
  </si>
  <si>
    <t>Efficiency</t>
  </si>
  <si>
    <t>Power (kW)</t>
  </si>
  <si>
    <t>Total (1 pump)</t>
  </si>
  <si>
    <t>Total (2 pumps)</t>
  </si>
  <si>
    <t>P-101 A/B</t>
  </si>
  <si>
    <t>Feed Pump</t>
  </si>
  <si>
    <t>CS Centrifugal</t>
  </si>
  <si>
    <t>P-102 A/B</t>
  </si>
  <si>
    <t>Precipitation Feed Pump</t>
  </si>
  <si>
    <t>P-103 A/B</t>
  </si>
  <si>
    <t>Into Column</t>
  </si>
  <si>
    <t>*SS centrifugal</t>
  </si>
  <si>
    <t>P-104 A/B</t>
  </si>
  <si>
    <t>Column Reflux Pumps</t>
  </si>
  <si>
    <t>* SS centrifugal</t>
  </si>
  <si>
    <t>P-106 A/B</t>
  </si>
  <si>
    <t>UF Recirculation</t>
  </si>
  <si>
    <t>Misc</t>
  </si>
  <si>
    <t>kW</t>
  </si>
  <si>
    <t>Mixer</t>
  </si>
  <si>
    <t>M-101 ?</t>
  </si>
  <si>
    <t>Centrifuge</t>
  </si>
  <si>
    <t>CG-101</t>
  </si>
  <si>
    <t>UF Filters</t>
  </si>
  <si>
    <t>F-101</t>
  </si>
  <si>
    <t>Assumes that 10 filter are purchased, 8 filters in operation and 2 as in line spare each unit was found online at  $2756.25/ filter assuming IP-51xp</t>
  </si>
  <si>
    <t>Misc Total</t>
  </si>
  <si>
    <t>Utility Costs</t>
  </si>
  <si>
    <t>Energy Balance</t>
  </si>
  <si>
    <t>Utility Type</t>
  </si>
  <si>
    <t>Cost</t>
  </si>
  <si>
    <t>LPS</t>
  </si>
  <si>
    <t>M-101</t>
  </si>
  <si>
    <t xml:space="preserve">CSTR Stirring </t>
  </si>
  <si>
    <t xml:space="preserve">Electricity </t>
  </si>
  <si>
    <t>P-105 A/B</t>
  </si>
  <si>
    <t>UF Recirculation pump</t>
  </si>
  <si>
    <t>UF Feed Pump</t>
  </si>
  <si>
    <t xml:space="preserve">Into Precipitation </t>
  </si>
  <si>
    <t>Total Annual Utility Costs</t>
  </si>
  <si>
    <t>Waste Costs</t>
  </si>
  <si>
    <t>Waste Processing</t>
  </si>
  <si>
    <t>Description of Waste</t>
  </si>
  <si>
    <t>TOC Handling</t>
  </si>
  <si>
    <t xml:space="preserve">Waste Water </t>
  </si>
  <si>
    <t>Total Annual WWT Costs</t>
  </si>
  <si>
    <t>Mass Flow Rate (kg/hr)</t>
  </si>
  <si>
    <t>Residence Time (hr)</t>
  </si>
  <si>
    <t xml:space="preserve">Level </t>
  </si>
  <si>
    <t>Tank Size (m^3)</t>
  </si>
  <si>
    <t>Height (m)</t>
  </si>
  <si>
    <t>Actual Diameter (m)</t>
  </si>
  <si>
    <t>Actual Height (m)</t>
  </si>
  <si>
    <t>Columen Reflux Pot</t>
  </si>
  <si>
    <t>COM_d</t>
  </si>
  <si>
    <t>COL</t>
  </si>
  <si>
    <t>9 key steps</t>
  </si>
  <si>
    <t>CRM</t>
  </si>
  <si>
    <t>C_UT</t>
  </si>
  <si>
    <t>C_WT</t>
  </si>
  <si>
    <t>FCI</t>
  </si>
  <si>
    <t>Revenue</t>
  </si>
  <si>
    <t xml:space="preserve">*$6.3/kg </t>
  </si>
  <si>
    <t>NOL</t>
  </si>
  <si>
    <t>op/shift</t>
  </si>
  <si>
    <t>air free</t>
  </si>
  <si>
    <t>$/yr</t>
  </si>
  <si>
    <t>wastewater</t>
  </si>
  <si>
    <t>Heat</t>
  </si>
  <si>
    <t>Xanthan Gum</t>
  </si>
  <si>
    <t>Op Labor</t>
  </si>
  <si>
    <t>/yr</t>
  </si>
  <si>
    <t>TK/V</t>
  </si>
  <si>
    <t>CUT</t>
  </si>
  <si>
    <t xml:space="preserve">round </t>
  </si>
  <si>
    <t>IPA:</t>
  </si>
  <si>
    <t>kg/hr</t>
  </si>
  <si>
    <t>UF</t>
  </si>
  <si>
    <t>CWT</t>
  </si>
  <si>
    <t>Salary</t>
  </si>
  <si>
    <t>kg/yr</t>
  </si>
  <si>
    <t>Column</t>
  </si>
  <si>
    <t>Cost IPA</t>
  </si>
  <si>
    <t>$/kg</t>
  </si>
  <si>
    <t>Manufacturing Costs</t>
  </si>
  <si>
    <t>Annual IPA Cost</t>
  </si>
  <si>
    <t>$/gal</t>
  </si>
  <si>
    <t>$/l</t>
  </si>
  <si>
    <t>year</t>
  </si>
  <si>
    <t>Investment</t>
  </si>
  <si>
    <t>MACRS</t>
  </si>
  <si>
    <t>Depreciation</t>
  </si>
  <si>
    <t>FC_L depreciation</t>
  </si>
  <si>
    <t>COMd</t>
  </si>
  <si>
    <t>after tax cash flow</t>
  </si>
  <si>
    <t>Cash Flow</t>
  </si>
  <si>
    <t>Cash Flow Discounted</t>
  </si>
  <si>
    <t>Cumulative</t>
  </si>
  <si>
    <t>Tax Rate:</t>
  </si>
  <si>
    <t>Hurdle Rate</t>
  </si>
  <si>
    <t>FCI/Total Capital</t>
  </si>
  <si>
    <t>Land Cost</t>
  </si>
  <si>
    <t>Working Capital</t>
  </si>
  <si>
    <t>$/MT</t>
  </si>
  <si>
    <t>Xanthan Gum Prod</t>
  </si>
  <si>
    <t>Old Price Acrylic Acid</t>
  </si>
  <si>
    <t>$/lb</t>
  </si>
  <si>
    <t>CCF:</t>
  </si>
  <si>
    <t>not profitable at any ROI for $0.36/lb</t>
  </si>
  <si>
    <t>Sell Price</t>
  </si>
  <si>
    <t xml:space="preserve">New Price Acrylic </t>
  </si>
  <si>
    <t xml:space="preserve">Revenue </t>
  </si>
  <si>
    <t>$/year</t>
  </si>
  <si>
    <t>Temp (C)</t>
  </si>
  <si>
    <t>MoC</t>
  </si>
  <si>
    <t>Orientation</t>
  </si>
  <si>
    <t>Type</t>
  </si>
  <si>
    <t>Volume (m^3)</t>
  </si>
  <si>
    <t>N/A</t>
  </si>
  <si>
    <t>Carbon Steel</t>
  </si>
  <si>
    <t>Vertical</t>
  </si>
  <si>
    <t>Cone Roof</t>
  </si>
  <si>
    <t>Floating Roof</t>
  </si>
  <si>
    <t>CSTR</t>
  </si>
  <si>
    <t xml:space="preserve">Veritcal </t>
  </si>
  <si>
    <t>Reflux Drum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</si>
</sst>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.00"/>
    <numFmt numFmtId="165" formatCode="&quot;$&quot;#,##0"/>
    <numFmt numFmtId="166" formatCode="0.000"/>
    <numFmt numFmtId="167" formatCode="#,##0.000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Arial"/>
      <scheme val="minor"/>
    </font>
    <font>
      <u/>
      <color rgb="FF0000FF"/>
    </font>
    <font>
      <b/>
      <color theme="1"/>
      <name val="Arial"/>
      <scheme val="minor"/>
    </font>
    <font>
      <b/>
      <color theme="1"/>
      <name val="Arial"/>
    </font>
    <font>
      <sz val="9.0"/>
      <color rgb="FF000000"/>
      <name val="&quot;Google Sans Mono&quot;"/>
    </font>
    <font>
      <color rgb="FF000000"/>
      <name val="Times"/>
    </font>
    <font>
      <color rgb="FF000000"/>
      <name val="Arial"/>
    </font>
    <font>
      <b/>
      <color rgb="FF000000"/>
      <name val="Times"/>
    </font>
    <font>
      <strike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Font="1" applyNumberFormat="1"/>
    <xf borderId="0" fillId="0" fontId="1" numFmtId="4" xfId="0" applyAlignment="1" applyFont="1" applyNumberFormat="1">
      <alignment readingOrder="0"/>
    </xf>
    <xf borderId="0" fillId="0" fontId="1" numFmtId="4" xfId="0" applyFont="1" applyNumberFormat="1"/>
    <xf borderId="0" fillId="0" fontId="1" numFmtId="0" xfId="0" applyFont="1"/>
    <xf borderId="0" fillId="0" fontId="1" numFmtId="165" xfId="0" applyFont="1" applyNumberFormat="1"/>
    <xf borderId="0" fillId="0" fontId="1" numFmtId="11" xfId="0" applyAlignment="1" applyFont="1" applyNumberFormat="1">
      <alignment readingOrder="0"/>
    </xf>
    <xf borderId="0" fillId="0" fontId="1" numFmtId="11" xfId="0" applyFont="1" applyNumberFormat="1"/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1" numFmtId="165" xfId="0" applyFont="1" applyNumberFormat="1"/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2" fontId="1" numFmtId="164" xfId="0" applyFont="1" applyNumberFormat="1"/>
    <xf borderId="0" fillId="3" fontId="1" numFmtId="0" xfId="0" applyAlignment="1" applyFill="1" applyFont="1">
      <alignment readingOrder="0"/>
    </xf>
    <xf borderId="0" fillId="0" fontId="1" numFmtId="0" xfId="0" applyFont="1"/>
    <xf borderId="0" fillId="4" fontId="3" numFmtId="164" xfId="0" applyAlignment="1" applyFill="1" applyFont="1" applyNumberFormat="1">
      <alignment readingOrder="0"/>
    </xf>
    <xf borderId="0" fillId="4" fontId="1" numFmtId="164" xfId="0" applyFont="1" applyNumberForma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1" numFmtId="164" xfId="0" applyAlignment="1" applyFont="1" applyNumberFormat="1">
      <alignment readingOrder="0"/>
    </xf>
    <xf borderId="0" fillId="0" fontId="5" numFmtId="164" xfId="0" applyFont="1" applyNumberFormat="1"/>
    <xf borderId="0" fillId="0" fontId="1" numFmtId="0" xfId="0" applyFont="1"/>
    <xf borderId="0" fillId="3" fontId="7" numFmtId="0" xfId="0" applyFont="1"/>
    <xf borderId="0" fillId="0" fontId="1" numFmtId="166" xfId="0" applyFont="1" applyNumberFormat="1"/>
    <xf borderId="0" fillId="5" fontId="2" numFmtId="0" xfId="0" applyAlignment="1" applyFill="1" applyFont="1">
      <alignment vertical="bottom"/>
    </xf>
    <xf borderId="0" fillId="5" fontId="2" numFmtId="164" xfId="0" applyAlignment="1" applyFont="1" applyNumberFormat="1">
      <alignment horizontal="right" vertical="bottom"/>
    </xf>
    <xf borderId="0" fillId="0" fontId="1" numFmtId="0" xfId="0" applyAlignment="1" applyFont="1">
      <alignment readingOrder="0"/>
    </xf>
    <xf borderId="0" fillId="3" fontId="2" numFmtId="164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3" fontId="3" numFmtId="164" xfId="0" applyFont="1" applyNumberFormat="1"/>
    <xf borderId="0" fillId="0" fontId="1" numFmtId="3" xfId="0" applyAlignment="1" applyFont="1" applyNumberFormat="1">
      <alignment readingOrder="0"/>
    </xf>
    <xf borderId="0" fillId="3" fontId="1" numFmtId="164" xfId="0" applyFont="1" applyNumberFormat="1"/>
    <xf borderId="0" fillId="0" fontId="2" numFmtId="0" xfId="0" applyAlignment="1" applyFont="1">
      <alignment horizontal="right" vertical="bottom"/>
    </xf>
    <xf borderId="0" fillId="0" fontId="1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left" readingOrder="0" shrinkToFit="0" wrapText="1"/>
    </xf>
    <xf borderId="0" fillId="0" fontId="9" numFmtId="165" xfId="0" applyAlignment="1" applyFont="1" applyNumberFormat="1">
      <alignment horizontal="left" readingOrder="0" shrinkToFit="0" wrapText="1"/>
    </xf>
    <xf borderId="0" fillId="0" fontId="9" numFmtId="164" xfId="0" applyAlignment="1" applyFont="1" applyNumberFormat="1">
      <alignment horizontal="left" readingOrder="0" shrinkToFit="0" wrapText="1"/>
    </xf>
    <xf borderId="0" fillId="0" fontId="8" numFmtId="164" xfId="0" applyAlignment="1" applyFont="1" applyNumberFormat="1">
      <alignment horizontal="left" readingOrder="0" shrinkToFit="0" wrapText="1"/>
    </xf>
    <xf borderId="0" fillId="0" fontId="10" numFmtId="0" xfId="0" applyAlignment="1" applyFont="1">
      <alignment horizontal="right" readingOrder="0" shrinkToFit="0" wrapText="1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horizontal="right" vertical="bottom"/>
    </xf>
    <xf borderId="4" fillId="0" fontId="2" numFmtId="164" xfId="0" applyAlignment="1" applyBorder="1" applyFont="1" applyNumberFormat="1">
      <alignment horizontal="right" vertical="bottom"/>
    </xf>
    <xf borderId="4" fillId="0" fontId="2" numFmtId="164" xfId="0" applyAlignment="1" applyBorder="1" applyFont="1" applyNumberFormat="1">
      <alignment vertical="bottom"/>
    </xf>
    <xf borderId="4" fillId="0" fontId="2" numFmtId="167" xfId="0" applyAlignment="1" applyBorder="1" applyFont="1" applyNumberFormat="1">
      <alignment horizontal="right" vertical="bottom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vertical="bottom"/>
    </xf>
    <xf borderId="0" fillId="0" fontId="2" numFmtId="164" xfId="0" applyAlignment="1" applyFont="1" applyNumberForma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3" fillId="5" fontId="2" numFmtId="0" xfId="0" applyAlignment="1" applyBorder="1" applyFont="1">
      <alignment vertical="bottom"/>
    </xf>
    <xf borderId="4" fillId="5" fontId="2" numFmtId="164" xfId="0" applyAlignment="1" applyBorder="1" applyFont="1" applyNumberFormat="1">
      <alignment horizontal="right" vertical="bottom"/>
    </xf>
    <xf borderId="3" fillId="0" fontId="11" numFmtId="0" xfId="0" applyAlignment="1" applyBorder="1" applyFont="1">
      <alignment vertical="bottom"/>
    </xf>
    <xf borderId="4" fillId="0" fontId="11" numFmtId="164" xfId="0" applyAlignment="1" applyBorder="1" applyFont="1" applyNumberFormat="1">
      <alignment horizontal="right" vertical="bottom"/>
    </xf>
    <xf borderId="5" fillId="0" fontId="2" numFmtId="0" xfId="0" applyAlignment="1" applyBorder="1" applyFont="1">
      <alignment horizontal="right" vertical="bottom"/>
    </xf>
    <xf borderId="3" fillId="0" fontId="2" numFmtId="0" xfId="0" applyAlignment="1" applyBorder="1" applyFont="1">
      <alignment readingOrder="0" vertical="bottom"/>
    </xf>
    <xf borderId="4" fillId="0" fontId="2" numFmtId="0" xfId="0" applyAlignment="1" applyBorder="1" applyFont="1">
      <alignment readingOrder="0" vertical="bottom"/>
    </xf>
    <xf borderId="4" fillId="0" fontId="2" numFmtId="0" xfId="0" applyAlignment="1" applyBorder="1" applyFont="1">
      <alignment horizontal="right" readingOrder="0" vertical="bottom"/>
    </xf>
    <xf borderId="4" fillId="4" fontId="2" numFmtId="164" xfId="0" applyAlignment="1" applyBorder="1" applyFont="1" applyNumberFormat="1">
      <alignment horizontal="right" vertical="bottom"/>
    </xf>
    <xf borderId="5" fillId="0" fontId="2" numFmtId="0" xfId="0" applyAlignment="1" applyBorder="1" applyFont="1">
      <alignment shrinkToFit="0" vertical="bottom" wrapText="0"/>
    </xf>
    <xf borderId="4" fillId="0" fontId="2" numFmtId="164" xfId="0" applyAlignment="1" applyBorder="1" applyFont="1" applyNumberFormat="1">
      <alignment horizontal="right" readingOrder="0" vertical="bottom"/>
    </xf>
    <xf borderId="4" fillId="5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v5tfQ-cFEO3rJNSs9c6HRx9DyNBnoV15nBrnVanRBM/edit" TargetMode="External"/><Relationship Id="rId2" Type="http://schemas.openxmlformats.org/officeDocument/2006/relationships/hyperlink" Target="https://docs.google.com/spreadsheets/d/1W_2JNad-D_aYU8-9CdfmAsgRxIPd-puB3gueXakhSH4/edit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2" width="19.5"/>
    <col customWidth="1" min="3" max="3" width="16.25"/>
    <col customWidth="1" min="4" max="4" width="13.38"/>
    <col customWidth="1" min="6" max="6" width="11.88"/>
    <col customWidth="1" min="21" max="21" width="14.0"/>
  </cols>
  <sheetData>
    <row r="1">
      <c r="A1" s="1"/>
      <c r="B1" s="1" t="s">
        <v>0</v>
      </c>
      <c r="T1" s="1" t="s">
        <v>1</v>
      </c>
      <c r="U1" s="1" t="s">
        <v>2</v>
      </c>
    </row>
    <row r="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S2" s="1" t="s">
        <v>16</v>
      </c>
      <c r="T2" s="2">
        <v>519375.00000000006</v>
      </c>
      <c r="U2" s="2">
        <v>2077500.0000000002</v>
      </c>
    </row>
    <row r="3">
      <c r="A3" s="1" t="s">
        <v>16</v>
      </c>
      <c r="B3" s="3">
        <v>46507.7</v>
      </c>
      <c r="C3" s="4">
        <f t="shared" ref="C3:C11" si="1">B3/0.8</f>
        <v>58134.625</v>
      </c>
      <c r="D3" s="5">
        <f t="shared" ref="D3:D11" si="2">C3/1000</f>
        <v>58.134625</v>
      </c>
      <c r="F3" s="1" t="s">
        <v>17</v>
      </c>
      <c r="H3" s="5">
        <f>50000</f>
        <v>50000</v>
      </c>
      <c r="I3" s="1">
        <v>1.0</v>
      </c>
      <c r="J3" s="1">
        <v>1.2</v>
      </c>
      <c r="K3" s="1">
        <v>5.0</v>
      </c>
      <c r="L3" s="5">
        <f t="shared" ref="L3:L10" si="3">K3*H3</f>
        <v>250000</v>
      </c>
      <c r="M3" s="5">
        <f t="shared" ref="M3:M11" si="4">831/400</f>
        <v>2.0775</v>
      </c>
      <c r="N3" s="6">
        <f t="shared" ref="N3:N11" si="5">L3*M3</f>
        <v>519375</v>
      </c>
      <c r="O3" s="1" t="s">
        <v>18</v>
      </c>
      <c r="S3" s="1" t="s">
        <v>19</v>
      </c>
      <c r="T3" s="2">
        <v>32762.175000000003</v>
      </c>
      <c r="U3" s="2">
        <v>32762.175000000003</v>
      </c>
    </row>
    <row r="4">
      <c r="A4" s="1" t="s">
        <v>19</v>
      </c>
      <c r="B4" s="4">
        <f>15937.46</f>
        <v>15937.46</v>
      </c>
      <c r="C4" s="4">
        <f t="shared" si="1"/>
        <v>19921.825</v>
      </c>
      <c r="D4" s="5">
        <f t="shared" si="2"/>
        <v>19.921825</v>
      </c>
      <c r="E4" s="1" t="s">
        <v>20</v>
      </c>
      <c r="H4" s="5">
        <f>8300</f>
        <v>8300</v>
      </c>
      <c r="K4" s="1">
        <v>1.9</v>
      </c>
      <c r="L4" s="5">
        <f t="shared" si="3"/>
        <v>15770</v>
      </c>
      <c r="M4" s="5">
        <f t="shared" si="4"/>
        <v>2.0775</v>
      </c>
      <c r="N4" s="6">
        <f t="shared" si="5"/>
        <v>32762.175</v>
      </c>
      <c r="O4" s="1" t="s">
        <v>21</v>
      </c>
      <c r="S4" s="1" t="s">
        <v>22</v>
      </c>
      <c r="T4" s="2">
        <v>31578.000000000004</v>
      </c>
      <c r="U4" s="2">
        <v>31578.000000000004</v>
      </c>
    </row>
    <row r="5">
      <c r="A5" s="1" t="s">
        <v>22</v>
      </c>
      <c r="B5" s="3">
        <v>9915.14</v>
      </c>
      <c r="C5" s="4">
        <f t="shared" si="1"/>
        <v>12393.925</v>
      </c>
      <c r="D5" s="5">
        <f t="shared" si="2"/>
        <v>12.393925</v>
      </c>
      <c r="E5" s="1" t="s">
        <v>23</v>
      </c>
      <c r="H5" s="5">
        <f>8000</f>
        <v>8000</v>
      </c>
      <c r="K5" s="1">
        <v>1.9</v>
      </c>
      <c r="L5" s="5">
        <f t="shared" si="3"/>
        <v>15200</v>
      </c>
      <c r="M5" s="5">
        <f t="shared" si="4"/>
        <v>2.0775</v>
      </c>
      <c r="N5" s="6">
        <f t="shared" si="5"/>
        <v>31578</v>
      </c>
      <c r="O5" s="1" t="s">
        <v>21</v>
      </c>
      <c r="S5" s="1" t="s">
        <v>24</v>
      </c>
      <c r="T5" s="2">
        <v>31578.000000000004</v>
      </c>
      <c r="U5" s="2">
        <v>197362.5</v>
      </c>
    </row>
    <row r="6">
      <c r="A6" s="1" t="s">
        <v>24</v>
      </c>
      <c r="B6" s="3">
        <v>87.0</v>
      </c>
      <c r="C6" s="4">
        <f t="shared" si="1"/>
        <v>108.75</v>
      </c>
      <c r="D6" s="5">
        <f t="shared" si="2"/>
        <v>0.10875</v>
      </c>
      <c r="E6" s="5">
        <f>D6*333</f>
        <v>36.21375</v>
      </c>
      <c r="F6" s="1" t="s">
        <v>25</v>
      </c>
      <c r="H6" s="7">
        <v>8000.0</v>
      </c>
      <c r="K6" s="1">
        <v>1.9</v>
      </c>
      <c r="L6" s="8">
        <f t="shared" si="3"/>
        <v>15200</v>
      </c>
      <c r="M6" s="5">
        <f t="shared" si="4"/>
        <v>2.0775</v>
      </c>
      <c r="N6" s="6">
        <f t="shared" si="5"/>
        <v>31578</v>
      </c>
      <c r="O6" s="1" t="s">
        <v>26</v>
      </c>
      <c r="S6" s="1" t="s">
        <v>27</v>
      </c>
      <c r="T6" s="2">
        <v>134206.5</v>
      </c>
      <c r="U6" s="2">
        <v>134206.5</v>
      </c>
    </row>
    <row r="7">
      <c r="A7" s="1" t="s">
        <v>27</v>
      </c>
      <c r="B7" s="4">
        <f>15319.19+27645.1</f>
        <v>42964.29</v>
      </c>
      <c r="C7" s="4">
        <f t="shared" si="1"/>
        <v>53705.3625</v>
      </c>
      <c r="D7" s="5">
        <f t="shared" si="2"/>
        <v>53.7053625</v>
      </c>
      <c r="E7" s="1" t="s">
        <v>28</v>
      </c>
      <c r="H7" s="1">
        <v>34000.0</v>
      </c>
      <c r="K7" s="1">
        <v>1.9</v>
      </c>
      <c r="L7" s="5">
        <f t="shared" si="3"/>
        <v>64600</v>
      </c>
      <c r="M7" s="5">
        <f t="shared" si="4"/>
        <v>2.0775</v>
      </c>
      <c r="N7" s="6">
        <f t="shared" si="5"/>
        <v>134206.5</v>
      </c>
      <c r="S7" s="1" t="s">
        <v>29</v>
      </c>
      <c r="T7" s="2">
        <v>27630.75</v>
      </c>
      <c r="U7" s="2">
        <v>27630.75</v>
      </c>
    </row>
    <row r="8">
      <c r="A8" s="1" t="s">
        <v>29</v>
      </c>
      <c r="B8" s="3">
        <v>8799.0</v>
      </c>
      <c r="C8" s="4">
        <f t="shared" si="1"/>
        <v>10998.75</v>
      </c>
      <c r="D8" s="5">
        <f t="shared" si="2"/>
        <v>10.99875</v>
      </c>
      <c r="E8" s="1" t="s">
        <v>30</v>
      </c>
      <c r="H8" s="1">
        <v>7000.0</v>
      </c>
      <c r="K8" s="1">
        <v>1.9</v>
      </c>
      <c r="L8" s="5">
        <f t="shared" si="3"/>
        <v>13300</v>
      </c>
      <c r="M8" s="5">
        <f t="shared" si="4"/>
        <v>2.0775</v>
      </c>
      <c r="N8" s="6">
        <f t="shared" si="5"/>
        <v>27630.75</v>
      </c>
      <c r="O8" s="1" t="s">
        <v>21</v>
      </c>
      <c r="S8" s="1" t="s">
        <v>31</v>
      </c>
      <c r="T8" s="2">
        <v>19736.25</v>
      </c>
      <c r="U8" s="2">
        <v>19736.25</v>
      </c>
    </row>
    <row r="9">
      <c r="A9" s="1" t="s">
        <v>31</v>
      </c>
      <c r="B9" s="4">
        <f>653</f>
        <v>653</v>
      </c>
      <c r="C9" s="4">
        <f t="shared" si="1"/>
        <v>816.25</v>
      </c>
      <c r="D9" s="5">
        <f t="shared" si="2"/>
        <v>0.81625</v>
      </c>
      <c r="E9" s="1" t="s">
        <v>32</v>
      </c>
      <c r="H9" s="1">
        <v>5000.0</v>
      </c>
      <c r="K9" s="1">
        <v>1.9</v>
      </c>
      <c r="L9" s="5">
        <f t="shared" si="3"/>
        <v>9500</v>
      </c>
      <c r="M9" s="5">
        <f t="shared" si="4"/>
        <v>2.0775</v>
      </c>
      <c r="N9" s="6">
        <f t="shared" si="5"/>
        <v>19736.25</v>
      </c>
      <c r="O9" s="1" t="s">
        <v>21</v>
      </c>
      <c r="S9" s="1" t="s">
        <v>33</v>
      </c>
      <c r="T9" s="2">
        <v>130259.25000000001</v>
      </c>
      <c r="U9" s="2">
        <v>78945.0</v>
      </c>
    </row>
    <row r="10">
      <c r="A10" s="1" t="s">
        <v>33</v>
      </c>
      <c r="B10" s="4">
        <f>35062.89+4680.27</f>
        <v>39743.16</v>
      </c>
      <c r="C10" s="4">
        <f t="shared" si="1"/>
        <v>49678.95</v>
      </c>
      <c r="D10" s="5">
        <f t="shared" si="2"/>
        <v>49.67895</v>
      </c>
      <c r="E10" s="1" t="s">
        <v>34</v>
      </c>
      <c r="H10" s="5">
        <f>33000</f>
        <v>33000</v>
      </c>
      <c r="K10" s="1">
        <v>1.9</v>
      </c>
      <c r="L10" s="5">
        <f t="shared" si="3"/>
        <v>62700</v>
      </c>
      <c r="M10" s="5">
        <f t="shared" si="4"/>
        <v>2.0775</v>
      </c>
      <c r="N10" s="6">
        <f t="shared" si="5"/>
        <v>130259.25</v>
      </c>
      <c r="S10" s="1" t="s">
        <v>35</v>
      </c>
      <c r="T10" s="2">
        <v>251169.75000000003</v>
      </c>
      <c r="U10" s="2">
        <v>251169.75000000003</v>
      </c>
    </row>
    <row r="11">
      <c r="A11" s="1" t="s">
        <v>35</v>
      </c>
      <c r="B11" s="3">
        <v>30638.0</v>
      </c>
      <c r="C11" s="4">
        <f t="shared" si="1"/>
        <v>38297.5</v>
      </c>
      <c r="D11" s="5">
        <f t="shared" si="2"/>
        <v>38.2975</v>
      </c>
      <c r="E11" s="1" t="s">
        <v>36</v>
      </c>
      <c r="H11" s="9">
        <v>39000.0</v>
      </c>
      <c r="I11" s="1">
        <v>1.0</v>
      </c>
      <c r="J11" s="1">
        <v>1.0</v>
      </c>
      <c r="K11" s="1">
        <v>3.1</v>
      </c>
      <c r="L11" s="5">
        <f>H11*K11</f>
        <v>120900</v>
      </c>
      <c r="M11" s="5">
        <f t="shared" si="4"/>
        <v>2.0775</v>
      </c>
      <c r="N11" s="6">
        <f t="shared" si="5"/>
        <v>251169.75</v>
      </c>
      <c r="R11" s="1" t="s">
        <v>37</v>
      </c>
      <c r="T11" s="2">
        <v>1178295.675</v>
      </c>
      <c r="U11" s="2">
        <v>2850890.9250000003</v>
      </c>
    </row>
    <row r="12">
      <c r="M12" s="10" t="s">
        <v>38</v>
      </c>
      <c r="N12" s="11">
        <f>SUM(N3:N11)</f>
        <v>1178295.675</v>
      </c>
      <c r="O12" s="1" t="s">
        <v>39</v>
      </c>
    </row>
    <row r="13">
      <c r="A13" s="1" t="s">
        <v>40</v>
      </c>
    </row>
    <row r="14">
      <c r="A14" s="12" t="s">
        <v>3</v>
      </c>
      <c r="B14" s="13" t="s">
        <v>41</v>
      </c>
      <c r="C14" s="5" t="s">
        <v>42</v>
      </c>
      <c r="D14" s="1" t="s">
        <v>9</v>
      </c>
      <c r="E14" s="1" t="s">
        <v>11</v>
      </c>
      <c r="F14" s="1" t="s">
        <v>10</v>
      </c>
      <c r="G14" s="1" t="s">
        <v>43</v>
      </c>
      <c r="H14" s="1" t="s">
        <v>44</v>
      </c>
      <c r="I14" s="1" t="s">
        <v>14</v>
      </c>
      <c r="J14" s="1" t="s">
        <v>15</v>
      </c>
    </row>
    <row r="15">
      <c r="A15" s="14" t="s">
        <v>45</v>
      </c>
      <c r="B15" s="15" t="s">
        <v>46</v>
      </c>
      <c r="C15" s="5">
        <v>2.2135118272091994</v>
      </c>
      <c r="D15" s="5">
        <f>1500</f>
        <v>1500</v>
      </c>
      <c r="E15" s="1">
        <v>1.0</v>
      </c>
      <c r="F15" s="1">
        <v>1.0</v>
      </c>
      <c r="G15" s="1">
        <v>6.0</v>
      </c>
      <c r="H15" s="5">
        <f t="shared" ref="H15:H17" si="6">G15*D15</f>
        <v>9000</v>
      </c>
      <c r="I15" s="5">
        <f t="shared" ref="I15:I17" si="7">831/400</f>
        <v>2.0775</v>
      </c>
      <c r="J15" s="2">
        <f t="shared" ref="J15:J17" si="8">I15*H15</f>
        <v>18697.5</v>
      </c>
      <c r="K15" s="1" t="s">
        <v>47</v>
      </c>
    </row>
    <row r="16">
      <c r="A16" s="14" t="s">
        <v>48</v>
      </c>
      <c r="B16" s="13" t="s">
        <v>49</v>
      </c>
      <c r="C16" s="5">
        <v>9.335184515370827</v>
      </c>
      <c r="D16" s="1">
        <v>5000.0</v>
      </c>
      <c r="E16" s="1">
        <v>1.0</v>
      </c>
      <c r="F16" s="1">
        <v>1.0</v>
      </c>
      <c r="G16" s="1">
        <v>3.1</v>
      </c>
      <c r="H16" s="5">
        <f t="shared" si="6"/>
        <v>15500</v>
      </c>
      <c r="I16" s="5">
        <f t="shared" si="7"/>
        <v>2.0775</v>
      </c>
      <c r="J16" s="2">
        <f t="shared" si="8"/>
        <v>32201.25</v>
      </c>
    </row>
    <row r="17">
      <c r="A17" s="14" t="s">
        <v>50</v>
      </c>
      <c r="B17" s="13" t="s">
        <v>51</v>
      </c>
      <c r="C17" s="5">
        <v>85.37413634935292</v>
      </c>
      <c r="D17" s="7">
        <v>110000.0</v>
      </c>
      <c r="E17" s="1">
        <v>1.0</v>
      </c>
      <c r="F17" s="1">
        <v>1.0</v>
      </c>
      <c r="G17" s="1">
        <v>3.1</v>
      </c>
      <c r="H17" s="8">
        <f t="shared" si="6"/>
        <v>341000</v>
      </c>
      <c r="I17" s="5">
        <f t="shared" si="7"/>
        <v>2.0775</v>
      </c>
      <c r="J17" s="2">
        <f t="shared" si="8"/>
        <v>708427.5</v>
      </c>
      <c r="K17" s="1" t="s">
        <v>52</v>
      </c>
    </row>
    <row r="18">
      <c r="A18" s="14"/>
      <c r="B18" s="14"/>
      <c r="I18" s="10" t="s">
        <v>53</v>
      </c>
      <c r="J18" s="16">
        <f>SUM(J15:J17)</f>
        <v>759326.25</v>
      </c>
    </row>
    <row r="19">
      <c r="A19" s="12" t="s">
        <v>54</v>
      </c>
      <c r="B19" s="14"/>
    </row>
    <row r="20">
      <c r="A20" s="14"/>
      <c r="B20" s="12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9</v>
      </c>
      <c r="K20" s="1" t="s">
        <v>11</v>
      </c>
      <c r="L20" s="1" t="s">
        <v>10</v>
      </c>
      <c r="M20" s="1" t="s">
        <v>12</v>
      </c>
      <c r="N20" s="1" t="s">
        <v>44</v>
      </c>
      <c r="O20" s="1" t="s">
        <v>63</v>
      </c>
      <c r="P20" s="10" t="s">
        <v>64</v>
      </c>
    </row>
    <row r="21">
      <c r="A21" s="14"/>
      <c r="B21" s="12" t="s">
        <v>65</v>
      </c>
      <c r="C21" s="1">
        <v>3.0</v>
      </c>
      <c r="D21" s="1">
        <v>9.0</v>
      </c>
      <c r="E21" s="1">
        <v>0.5</v>
      </c>
      <c r="F21" s="5">
        <f>(D21-2)/E21</f>
        <v>14</v>
      </c>
      <c r="G21" s="1">
        <v>0.6096</v>
      </c>
      <c r="H21" s="1">
        <v>6.096</v>
      </c>
      <c r="I21" s="5">
        <f>H21+(D21*G21)</f>
        <v>11.5824</v>
      </c>
      <c r="J21" s="7">
        <v>110000.0</v>
      </c>
      <c r="K21" s="1">
        <v>1.2</v>
      </c>
      <c r="L21" s="1">
        <v>1.0</v>
      </c>
      <c r="M21" s="1">
        <v>5.0</v>
      </c>
      <c r="N21" s="8">
        <f>J21*M21</f>
        <v>550000</v>
      </c>
      <c r="O21" s="5">
        <f>831/400</f>
        <v>2.0775</v>
      </c>
      <c r="P21" s="16">
        <f>N21*O21</f>
        <v>1142625</v>
      </c>
      <c r="R21" s="2">
        <f>sum(P21,J25)</f>
        <v>1497752.85</v>
      </c>
    </row>
    <row r="23">
      <c r="A23" s="1" t="s">
        <v>66</v>
      </c>
    </row>
    <row r="24">
      <c r="B24" s="1" t="s">
        <v>67</v>
      </c>
      <c r="C24" s="1" t="s">
        <v>56</v>
      </c>
      <c r="D24" s="1" t="s">
        <v>68</v>
      </c>
      <c r="E24" s="1" t="s">
        <v>69</v>
      </c>
      <c r="F24" s="1" t="s">
        <v>12</v>
      </c>
      <c r="G24" s="1" t="s">
        <v>70</v>
      </c>
      <c r="H24" s="1" t="s">
        <v>44</v>
      </c>
      <c r="I24" s="1" t="s">
        <v>63</v>
      </c>
      <c r="J24" s="10" t="s">
        <v>71</v>
      </c>
      <c r="L24" s="2">
        <f>J25+P21</f>
        <v>1497752.85</v>
      </c>
    </row>
    <row r="25">
      <c r="B25" s="1" t="s">
        <v>72</v>
      </c>
      <c r="C25" s="1">
        <v>3.0</v>
      </c>
      <c r="D25" s="5">
        <f>F21</f>
        <v>14</v>
      </c>
      <c r="E25" s="7">
        <v>5000.0</v>
      </c>
      <c r="F25" s="1">
        <v>2.2</v>
      </c>
      <c r="G25" s="1">
        <v>1.11</v>
      </c>
      <c r="H25" s="8">
        <f>E25*F25*G25*D25</f>
        <v>170940</v>
      </c>
      <c r="I25" s="5">
        <f>831/400</f>
        <v>2.0775</v>
      </c>
      <c r="J25" s="16">
        <f>H25*I25</f>
        <v>355127.85</v>
      </c>
    </row>
    <row r="26">
      <c r="J26" s="2"/>
    </row>
    <row r="27">
      <c r="A27" s="1" t="s">
        <v>73</v>
      </c>
    </row>
    <row r="28">
      <c r="A28" s="1" t="s">
        <v>74</v>
      </c>
      <c r="B28" s="1" t="s">
        <v>41</v>
      </c>
      <c r="C28" s="1" t="s">
        <v>75</v>
      </c>
      <c r="D28" s="1" t="s">
        <v>76</v>
      </c>
      <c r="E28" s="1" t="s">
        <v>77</v>
      </c>
      <c r="F28" s="1" t="s">
        <v>78</v>
      </c>
      <c r="G28" s="1" t="s">
        <v>79</v>
      </c>
      <c r="H28" s="1" t="s">
        <v>80</v>
      </c>
      <c r="I28" s="1" t="s">
        <v>9</v>
      </c>
      <c r="J28" s="1" t="s">
        <v>10</v>
      </c>
      <c r="K28" s="1" t="s">
        <v>11</v>
      </c>
      <c r="L28" s="1" t="s">
        <v>12</v>
      </c>
      <c r="M28" s="1" t="s">
        <v>44</v>
      </c>
      <c r="N28" s="1" t="s">
        <v>63</v>
      </c>
      <c r="O28" s="1" t="s">
        <v>81</v>
      </c>
      <c r="P28" s="1" t="s">
        <v>82</v>
      </c>
    </row>
    <row r="29">
      <c r="A29" s="1" t="s">
        <v>83</v>
      </c>
      <c r="B29" s="1" t="s">
        <v>84</v>
      </c>
      <c r="C29" s="5">
        <f>(191.16*3600/1000)+(7.65*3600)</f>
        <v>28228.176</v>
      </c>
      <c r="D29" s="1">
        <v>997.7</v>
      </c>
      <c r="H29" s="1">
        <v>5.05</v>
      </c>
      <c r="I29" s="1">
        <v>6500.0</v>
      </c>
      <c r="J29" s="1">
        <v>1.0</v>
      </c>
      <c r="K29" s="1">
        <v>1.0</v>
      </c>
      <c r="L29" s="1">
        <v>3.0</v>
      </c>
      <c r="M29" s="5">
        <f t="shared" ref="M29:M33" si="9">I29*L29</f>
        <v>19500</v>
      </c>
      <c r="N29" s="5">
        <f t="shared" ref="N29:N33" si="10">831/400</f>
        <v>2.0775</v>
      </c>
      <c r="O29" s="2">
        <f t="shared" ref="O29:O33" si="11">M29*N29</f>
        <v>40511.25</v>
      </c>
      <c r="P29" s="2">
        <f t="shared" ref="P29:P33" si="12">O29*2</f>
        <v>81022.5</v>
      </c>
      <c r="Q29" s="1" t="s">
        <v>85</v>
      </c>
    </row>
    <row r="30">
      <c r="A30" s="17" t="s">
        <v>86</v>
      </c>
      <c r="B30" s="1" t="s">
        <v>87</v>
      </c>
      <c r="C30" s="18">
        <v>9915.140140140142</v>
      </c>
      <c r="D30" s="1">
        <v>980.574106180922</v>
      </c>
      <c r="E30" s="5">
        <f>0.2-0.08618447</f>
        <v>0.11381553</v>
      </c>
      <c r="F30" s="1">
        <v>11381.553</v>
      </c>
      <c r="G30" s="1">
        <v>0.75</v>
      </c>
      <c r="H30" s="5">
        <f t="shared" ref="H30:H32" si="13">((C30*F30*(1/3600))/(D30*G30))/1000</f>
        <v>0.0426241957</v>
      </c>
      <c r="I30" s="7">
        <v>1600.0</v>
      </c>
      <c r="J30" s="1">
        <v>1.9</v>
      </c>
      <c r="K30" s="1">
        <v>1.0</v>
      </c>
      <c r="L30" s="1">
        <v>4.9</v>
      </c>
      <c r="M30" s="8">
        <f t="shared" si="9"/>
        <v>7840</v>
      </c>
      <c r="N30" s="5">
        <f t="shared" si="10"/>
        <v>2.0775</v>
      </c>
      <c r="O30" s="2">
        <f t="shared" si="11"/>
        <v>16287.6</v>
      </c>
      <c r="P30" s="2">
        <f t="shared" si="12"/>
        <v>32575.2</v>
      </c>
    </row>
    <row r="31">
      <c r="A31" s="1" t="s">
        <v>88</v>
      </c>
      <c r="B31" s="1" t="s">
        <v>89</v>
      </c>
      <c r="C31" s="1">
        <v>38942.0</v>
      </c>
      <c r="D31" s="1">
        <v>854.556</v>
      </c>
      <c r="F31" s="1">
        <v>8675.0</v>
      </c>
      <c r="G31" s="1">
        <v>0.75</v>
      </c>
      <c r="H31" s="5">
        <f t="shared" si="13"/>
        <v>0.1464142826</v>
      </c>
      <c r="I31" s="7">
        <v>6000.0</v>
      </c>
      <c r="J31" s="1">
        <v>1.9</v>
      </c>
      <c r="K31" s="1">
        <v>1.0</v>
      </c>
      <c r="L31" s="1">
        <v>4.9</v>
      </c>
      <c r="M31" s="8">
        <f t="shared" si="9"/>
        <v>29400</v>
      </c>
      <c r="N31" s="5">
        <f t="shared" si="10"/>
        <v>2.0775</v>
      </c>
      <c r="O31" s="2">
        <f t="shared" si="11"/>
        <v>61078.5</v>
      </c>
      <c r="P31" s="2">
        <f t="shared" si="12"/>
        <v>122157</v>
      </c>
      <c r="Q31" s="1" t="s">
        <v>90</v>
      </c>
    </row>
    <row r="32">
      <c r="A32" s="1" t="s">
        <v>91</v>
      </c>
      <c r="B32" s="1" t="s">
        <v>92</v>
      </c>
      <c r="C32" s="1">
        <v>61886.0</v>
      </c>
      <c r="D32" s="1">
        <v>752.758641479989</v>
      </c>
      <c r="E32" s="1">
        <v>0.01333</v>
      </c>
      <c r="F32" s="1">
        <v>1333.0</v>
      </c>
      <c r="G32" s="1">
        <v>0.75</v>
      </c>
      <c r="H32" s="5">
        <f t="shared" si="13"/>
        <v>0.04058850437</v>
      </c>
      <c r="I32" s="7">
        <v>1500.0</v>
      </c>
      <c r="J32" s="1">
        <v>1.9</v>
      </c>
      <c r="K32" s="1">
        <v>1.0</v>
      </c>
      <c r="L32" s="1">
        <v>4.9</v>
      </c>
      <c r="M32" s="8">
        <f t="shared" si="9"/>
        <v>7350</v>
      </c>
      <c r="N32" s="5">
        <f t="shared" si="10"/>
        <v>2.0775</v>
      </c>
      <c r="O32" s="2">
        <f t="shared" si="11"/>
        <v>15269.625</v>
      </c>
      <c r="P32" s="2">
        <f t="shared" si="12"/>
        <v>30539.25</v>
      </c>
      <c r="Q32" s="1" t="s">
        <v>93</v>
      </c>
    </row>
    <row r="33">
      <c r="A33" s="1" t="s">
        <v>94</v>
      </c>
      <c r="B33" s="1" t="s">
        <v>95</v>
      </c>
      <c r="C33" s="5">
        <f>190*3600</f>
        <v>684000</v>
      </c>
      <c r="D33" s="1">
        <v>997.7</v>
      </c>
      <c r="H33" s="1">
        <v>150.2</v>
      </c>
      <c r="I33" s="1">
        <v>27000.0</v>
      </c>
      <c r="J33" s="1">
        <v>1.0</v>
      </c>
      <c r="K33" s="1">
        <v>1.0</v>
      </c>
      <c r="L33" s="1">
        <v>3.0</v>
      </c>
      <c r="M33" s="5">
        <f t="shared" si="9"/>
        <v>81000</v>
      </c>
      <c r="N33" s="5">
        <f t="shared" si="10"/>
        <v>2.0775</v>
      </c>
      <c r="O33" s="2">
        <f t="shared" si="11"/>
        <v>168277.5</v>
      </c>
      <c r="P33" s="2">
        <f t="shared" si="12"/>
        <v>336555</v>
      </c>
      <c r="Q33" s="1" t="s">
        <v>85</v>
      </c>
    </row>
    <row r="34">
      <c r="A34" s="17"/>
      <c r="P34" s="2">
        <f>sum(P29:P33)</f>
        <v>602848.95</v>
      </c>
    </row>
    <row r="36">
      <c r="A36" s="1" t="s">
        <v>96</v>
      </c>
      <c r="C36" s="1" t="s">
        <v>97</v>
      </c>
      <c r="D36" s="1" t="s">
        <v>9</v>
      </c>
      <c r="E36" s="1" t="s">
        <v>12</v>
      </c>
      <c r="F36" s="1" t="s">
        <v>14</v>
      </c>
      <c r="G36" s="1" t="s">
        <v>11</v>
      </c>
      <c r="H36" s="1" t="s">
        <v>10</v>
      </c>
      <c r="I36" s="1" t="s">
        <v>15</v>
      </c>
    </row>
    <row r="37">
      <c r="A37" s="1" t="s">
        <v>98</v>
      </c>
      <c r="B37" s="1" t="s">
        <v>99</v>
      </c>
      <c r="C37" s="1">
        <v>15.8</v>
      </c>
      <c r="D37" s="7">
        <v>30000.0</v>
      </c>
      <c r="E37" s="1">
        <v>2.0</v>
      </c>
      <c r="F37" s="5">
        <f>831/400</f>
        <v>2.0775</v>
      </c>
      <c r="I37" s="2">
        <f>D37*E37*F37</f>
        <v>124650</v>
      </c>
    </row>
    <row r="38">
      <c r="A38" s="1" t="s">
        <v>100</v>
      </c>
      <c r="B38" s="1" t="s">
        <v>101</v>
      </c>
      <c r="C38" s="1">
        <v>50.0</v>
      </c>
      <c r="I38" s="19">
        <v>800000.0</v>
      </c>
    </row>
    <row r="39">
      <c r="A39" s="1" t="s">
        <v>102</v>
      </c>
      <c r="B39" s="1" t="s">
        <v>103</v>
      </c>
      <c r="C39" s="1">
        <v>0.0</v>
      </c>
      <c r="I39" s="2">
        <f>10*(2756.25)</f>
        <v>27562.5</v>
      </c>
      <c r="J39" s="1" t="s">
        <v>104</v>
      </c>
    </row>
    <row r="40">
      <c r="H40" s="1" t="s">
        <v>105</v>
      </c>
      <c r="I40" s="20">
        <f>SUM(I37:I39)</f>
        <v>952212.5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17.75"/>
    <col customWidth="1" min="3" max="3" width="20.75"/>
  </cols>
  <sheetData>
    <row r="1">
      <c r="A1" s="1" t="s">
        <v>106</v>
      </c>
      <c r="B1" s="21" t="s">
        <v>107</v>
      </c>
    </row>
    <row r="2">
      <c r="A2" s="22" t="s">
        <v>74</v>
      </c>
      <c r="B2" s="22" t="s">
        <v>41</v>
      </c>
      <c r="C2" s="22" t="s">
        <v>108</v>
      </c>
      <c r="D2" s="22" t="s">
        <v>109</v>
      </c>
    </row>
    <row r="3">
      <c r="A3" s="22" t="s">
        <v>48</v>
      </c>
      <c r="B3" s="1" t="s">
        <v>49</v>
      </c>
      <c r="C3" s="1" t="s">
        <v>110</v>
      </c>
      <c r="D3" s="2">
        <v>3736781.444712217</v>
      </c>
    </row>
    <row r="4">
      <c r="A4" s="22" t="s">
        <v>111</v>
      </c>
      <c r="B4" s="1" t="s">
        <v>112</v>
      </c>
      <c r="C4" s="1" t="s">
        <v>113</v>
      </c>
      <c r="D4" s="2">
        <v>87832.07999999999</v>
      </c>
    </row>
    <row r="5">
      <c r="A5" s="23" t="s">
        <v>114</v>
      </c>
      <c r="B5" s="14" t="s">
        <v>115</v>
      </c>
      <c r="C5" s="1" t="s">
        <v>113</v>
      </c>
      <c r="D5" s="2">
        <v>840278.8799999999</v>
      </c>
    </row>
    <row r="6">
      <c r="A6" s="24" t="s">
        <v>83</v>
      </c>
      <c r="B6" s="14" t="s">
        <v>116</v>
      </c>
      <c r="C6" s="1" t="s">
        <v>113</v>
      </c>
      <c r="D6" s="2">
        <v>28251.719999999998</v>
      </c>
    </row>
    <row r="7">
      <c r="A7" s="24" t="s">
        <v>91</v>
      </c>
      <c r="B7" s="14" t="s">
        <v>92</v>
      </c>
      <c r="C7" s="1" t="s">
        <v>113</v>
      </c>
      <c r="D7" s="2">
        <v>227.06832883371672</v>
      </c>
    </row>
    <row r="8">
      <c r="A8" s="23" t="s">
        <v>88</v>
      </c>
      <c r="B8" s="14" t="s">
        <v>89</v>
      </c>
      <c r="C8" s="1" t="s">
        <v>113</v>
      </c>
      <c r="D8" s="2">
        <v>819.1000627226301</v>
      </c>
    </row>
    <row r="9">
      <c r="A9" s="22" t="s">
        <v>86</v>
      </c>
      <c r="B9" s="1" t="s">
        <v>117</v>
      </c>
      <c r="C9" s="1" t="s">
        <v>113</v>
      </c>
      <c r="D9" s="25">
        <v>238.46</v>
      </c>
    </row>
    <row r="10">
      <c r="C10" s="22" t="s">
        <v>118</v>
      </c>
      <c r="D10" s="26">
        <f>sum(D3:D9)</f>
        <v>4694428.753</v>
      </c>
    </row>
    <row r="12">
      <c r="A12" s="1" t="s">
        <v>119</v>
      </c>
      <c r="B12" s="21" t="s">
        <v>120</v>
      </c>
    </row>
    <row r="13">
      <c r="A13" s="1" t="s">
        <v>121</v>
      </c>
      <c r="B13" s="1" t="s">
        <v>109</v>
      </c>
    </row>
    <row r="14">
      <c r="A14" s="1" t="s">
        <v>122</v>
      </c>
      <c r="B14" s="5">
        <v>1689841.2299479414</v>
      </c>
    </row>
    <row r="15">
      <c r="A15" s="1" t="s">
        <v>123</v>
      </c>
      <c r="B15" s="27">
        <v>68939.04501153925</v>
      </c>
    </row>
    <row r="17">
      <c r="A17" s="1" t="s">
        <v>124</v>
      </c>
      <c r="B17" s="2">
        <f>sum(B14:B15)</f>
        <v>1758780.275</v>
      </c>
    </row>
  </sheetData>
  <hyperlinks>
    <hyperlink r:id="rId1" location="gid=0" ref="B1"/>
    <hyperlink r:id="rId2" location="gid=0" ref="B12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2" width="17.75"/>
    <col customWidth="1" min="11" max="11" width="13.88"/>
  </cols>
  <sheetData>
    <row r="1">
      <c r="A1" s="14" t="s">
        <v>74</v>
      </c>
      <c r="B1" s="14" t="s">
        <v>41</v>
      </c>
      <c r="C1" s="14" t="s">
        <v>125</v>
      </c>
      <c r="D1" s="14" t="s">
        <v>126</v>
      </c>
      <c r="E1" s="14" t="s">
        <v>76</v>
      </c>
      <c r="F1" s="14" t="s">
        <v>127</v>
      </c>
      <c r="G1" s="14" t="s">
        <v>128</v>
      </c>
      <c r="H1" s="14" t="s">
        <v>56</v>
      </c>
      <c r="I1" s="14" t="s">
        <v>129</v>
      </c>
      <c r="J1" s="14" t="s">
        <v>130</v>
      </c>
      <c r="K1" s="14" t="s">
        <v>131</v>
      </c>
      <c r="L1" s="14" t="s">
        <v>9</v>
      </c>
      <c r="M1" s="14"/>
      <c r="N1" s="14"/>
      <c r="O1" s="14"/>
      <c r="P1" s="14"/>
      <c r="Q1" s="14"/>
      <c r="R1" s="13"/>
    </row>
    <row r="2">
      <c r="A2" s="1" t="s">
        <v>35</v>
      </c>
      <c r="B2" s="1" t="s">
        <v>132</v>
      </c>
      <c r="C2" s="1">
        <v>61886.0</v>
      </c>
      <c r="D2" s="5">
        <f>5/60</f>
        <v>0.08333333333</v>
      </c>
      <c r="E2" s="1">
        <v>752.758641479989</v>
      </c>
      <c r="F2" s="1">
        <v>0.5</v>
      </c>
      <c r="G2" s="5">
        <f>(C2*D2)/(E2*F2)</f>
        <v>13.70204574</v>
      </c>
      <c r="H2" s="28">
        <f>((4*G2)/3)^(1/3)</f>
        <v>2.633751018</v>
      </c>
      <c r="I2" s="5">
        <f>H2*3</f>
        <v>7.901253054</v>
      </c>
      <c r="J2" s="1">
        <v>3.0</v>
      </c>
      <c r="K2" s="1">
        <v>8.0</v>
      </c>
      <c r="L2" s="7">
        <v>39000.0</v>
      </c>
    </row>
    <row r="3">
      <c r="A3" s="1"/>
    </row>
    <row r="4">
      <c r="A4" s="1"/>
      <c r="C4" s="1" t="s">
        <v>6</v>
      </c>
    </row>
    <row r="5">
      <c r="A5" s="1" t="s">
        <v>16</v>
      </c>
      <c r="C5" s="29">
        <v>58.13462499999999</v>
      </c>
    </row>
    <row r="6">
      <c r="A6" s="1" t="s">
        <v>19</v>
      </c>
      <c r="C6" s="29">
        <v>19.921825</v>
      </c>
    </row>
    <row r="7">
      <c r="A7" s="1" t="s">
        <v>22</v>
      </c>
      <c r="C7" s="29">
        <v>12.393925</v>
      </c>
    </row>
    <row r="8">
      <c r="A8" s="1" t="s">
        <v>24</v>
      </c>
      <c r="C8" s="29">
        <v>0.10875</v>
      </c>
    </row>
    <row r="9">
      <c r="A9" s="1" t="s">
        <v>27</v>
      </c>
      <c r="C9" s="29">
        <v>53.70536249999999</v>
      </c>
    </row>
    <row r="10">
      <c r="A10" s="1" t="s">
        <v>29</v>
      </c>
      <c r="C10" s="29">
        <v>10.99875</v>
      </c>
    </row>
    <row r="11">
      <c r="A11" s="1" t="s">
        <v>31</v>
      </c>
      <c r="C11" s="29">
        <v>0.81625</v>
      </c>
    </row>
    <row r="12">
      <c r="A12" s="1" t="s">
        <v>33</v>
      </c>
      <c r="C12" s="29">
        <v>49.67895000000001</v>
      </c>
    </row>
    <row r="13">
      <c r="A13" s="1" t="s">
        <v>35</v>
      </c>
      <c r="C13" s="29">
        <v>38.2975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0" t="s">
        <v>133</v>
      </c>
      <c r="B1" s="31">
        <f>(0.18*B2)+(2.73*B3)+1.23*(B4+B5+B6)</f>
        <v>13208999.67</v>
      </c>
      <c r="D1" s="1" t="s">
        <v>134</v>
      </c>
      <c r="E1" s="1" t="s">
        <v>135</v>
      </c>
      <c r="G1" s="1" t="s">
        <v>136</v>
      </c>
      <c r="J1" s="1" t="s">
        <v>137</v>
      </c>
      <c r="L1" s="1" t="s">
        <v>138</v>
      </c>
      <c r="N1" s="1" t="s">
        <v>139</v>
      </c>
      <c r="Q1" s="10" t="s">
        <v>140</v>
      </c>
      <c r="R1" s="10" t="s">
        <v>141</v>
      </c>
      <c r="S1" s="32"/>
    </row>
    <row r="2">
      <c r="A2" s="14" t="s">
        <v>139</v>
      </c>
      <c r="B2" s="33">
        <f>O8</f>
        <v>4217998.725</v>
      </c>
      <c r="D2" s="1" t="s">
        <v>142</v>
      </c>
      <c r="E2" s="5">
        <f>(6.29+0.23*9)^0.5</f>
        <v>2.891366459</v>
      </c>
      <c r="F2" s="1" t="s">
        <v>143</v>
      </c>
      <c r="G2" s="1" t="s">
        <v>144</v>
      </c>
      <c r="J2" s="2">
        <v>4694190.293103773</v>
      </c>
      <c r="K2" s="1" t="s">
        <v>145</v>
      </c>
      <c r="L2" s="1" t="s">
        <v>146</v>
      </c>
      <c r="N2" s="1" t="s">
        <v>147</v>
      </c>
      <c r="O2" s="2">
        <v>759326.25</v>
      </c>
      <c r="Q2" s="10" t="s">
        <v>148</v>
      </c>
      <c r="R2" s="16">
        <f>653.8*6.3*24*333</f>
        <v>32918568.48</v>
      </c>
    </row>
    <row r="3">
      <c r="A3" s="14" t="s">
        <v>134</v>
      </c>
      <c r="B3" s="34">
        <f>E6</f>
        <v>715000</v>
      </c>
      <c r="D3" s="1" t="s">
        <v>149</v>
      </c>
      <c r="E3" s="5">
        <f>E2*4.5</f>
        <v>13.01114907</v>
      </c>
      <c r="L3" s="2">
        <v>1758780.2749594806</v>
      </c>
      <c r="M3" s="1" t="s">
        <v>150</v>
      </c>
      <c r="N3" s="1" t="s">
        <v>151</v>
      </c>
      <c r="O3" s="2">
        <v>1178295.675</v>
      </c>
    </row>
    <row r="4">
      <c r="A4" s="14" t="s">
        <v>152</v>
      </c>
      <c r="B4" s="33">
        <f>J2</f>
        <v>4694190.293</v>
      </c>
      <c r="E4" s="1">
        <v>13.0</v>
      </c>
      <c r="F4" s="1" t="s">
        <v>153</v>
      </c>
      <c r="G4" s="1" t="s">
        <v>154</v>
      </c>
      <c r="H4" s="3">
        <v>69.11911845</v>
      </c>
      <c r="I4" s="1" t="s">
        <v>155</v>
      </c>
      <c r="J4" s="1" t="s">
        <v>138</v>
      </c>
      <c r="N4" s="1" t="s">
        <v>156</v>
      </c>
      <c r="O4" s="35">
        <v>27562.5</v>
      </c>
    </row>
    <row r="5">
      <c r="A5" s="14" t="s">
        <v>157</v>
      </c>
      <c r="B5" s="34">
        <f>L3</f>
        <v>1758780.275</v>
      </c>
      <c r="D5" s="1" t="s">
        <v>158</v>
      </c>
      <c r="E5" s="36">
        <v>55000.0</v>
      </c>
      <c r="H5" s="4">
        <f>H4*24*333</f>
        <v>552399.9947</v>
      </c>
      <c r="I5" s="1" t="s">
        <v>159</v>
      </c>
      <c r="J5" s="1" t="s">
        <v>146</v>
      </c>
      <c r="N5" s="1" t="s">
        <v>73</v>
      </c>
      <c r="O5" s="35">
        <v>602848.95</v>
      </c>
    </row>
    <row r="6">
      <c r="A6" s="14" t="s">
        <v>136</v>
      </c>
      <c r="B6" s="33">
        <f>H9</f>
        <v>2081834.229</v>
      </c>
      <c r="D6" s="1" t="s">
        <v>134</v>
      </c>
      <c r="E6" s="5">
        <f>E4*E5</f>
        <v>715000</v>
      </c>
      <c r="J6" s="2">
        <v>1758780.2749594806</v>
      </c>
      <c r="K6" s="1" t="s">
        <v>150</v>
      </c>
      <c r="N6" s="1" t="s">
        <v>160</v>
      </c>
      <c r="O6" s="2">
        <v>1497752.85</v>
      </c>
    </row>
    <row r="7">
      <c r="G7" s="1" t="s">
        <v>161</v>
      </c>
      <c r="H7" s="18">
        <f>H14</f>
        <v>3.768707909</v>
      </c>
      <c r="I7" s="1" t="s">
        <v>162</v>
      </c>
      <c r="N7" s="1" t="s">
        <v>96</v>
      </c>
      <c r="O7" s="37">
        <v>152212.5</v>
      </c>
    </row>
    <row r="8">
      <c r="H8" s="2"/>
      <c r="N8" s="1" t="s">
        <v>15</v>
      </c>
      <c r="O8" s="2">
        <f>SUM(O1:O7)</f>
        <v>4217998.725</v>
      </c>
    </row>
    <row r="9">
      <c r="A9" s="1" t="s">
        <v>163</v>
      </c>
      <c r="B9" s="2">
        <f>sum(B3:B6)</f>
        <v>9249804.797</v>
      </c>
      <c r="G9" s="1" t="s">
        <v>164</v>
      </c>
      <c r="H9" s="2">
        <f>H7*H5</f>
        <v>2081834.229</v>
      </c>
    </row>
    <row r="10">
      <c r="C10" s="2">
        <f>SUM(B4,B5,B6)</f>
        <v>8534804.797</v>
      </c>
      <c r="K10" s="2">
        <f>SUM(L3,J2,H9,E6)</f>
        <v>9249804.797</v>
      </c>
    </row>
    <row r="12">
      <c r="G12" s="14" t="s">
        <v>161</v>
      </c>
      <c r="H12" s="38">
        <f>3160/270</f>
        <v>11.7037037</v>
      </c>
      <c r="I12" s="14" t="s">
        <v>165</v>
      </c>
    </row>
    <row r="13">
      <c r="G13" s="14"/>
      <c r="H13" s="38">
        <f>H12/3.78541178</f>
        <v>3.091791431</v>
      </c>
      <c r="I13" s="14" t="s">
        <v>166</v>
      </c>
    </row>
    <row r="14">
      <c r="G14" s="14"/>
      <c r="H14" s="38">
        <f>H13/0.8203849981</f>
        <v>3.768707909</v>
      </c>
      <c r="I14" s="14" t="s">
        <v>162</v>
      </c>
    </row>
    <row r="19">
      <c r="H19" s="39"/>
      <c r="I19" s="40"/>
      <c r="J19" s="40"/>
    </row>
    <row r="20">
      <c r="H20" s="40"/>
      <c r="I20" s="41"/>
      <c r="J20" s="41"/>
    </row>
    <row r="21">
      <c r="H21" s="40"/>
      <c r="I21" s="42"/>
      <c r="J21" s="42"/>
    </row>
    <row r="22">
      <c r="H22" s="40"/>
      <c r="I22" s="43"/>
      <c r="J22" s="43"/>
    </row>
    <row r="23">
      <c r="H23" s="40"/>
      <c r="I23" s="42"/>
      <c r="J23" s="42"/>
    </row>
    <row r="24">
      <c r="H24" s="44"/>
      <c r="I24" s="39"/>
      <c r="J24" s="3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88"/>
  </cols>
  <sheetData>
    <row r="1">
      <c r="A1" s="45" t="s">
        <v>167</v>
      </c>
      <c r="B1" s="46" t="s">
        <v>168</v>
      </c>
      <c r="C1" s="46" t="s">
        <v>169</v>
      </c>
      <c r="D1" s="46" t="s">
        <v>170</v>
      </c>
      <c r="E1" s="46" t="s">
        <v>171</v>
      </c>
      <c r="F1" s="46" t="s">
        <v>140</v>
      </c>
      <c r="G1" s="46" t="s">
        <v>172</v>
      </c>
      <c r="H1" s="46" t="s">
        <v>173</v>
      </c>
      <c r="I1" s="46" t="s">
        <v>174</v>
      </c>
      <c r="J1" s="46" t="s">
        <v>175</v>
      </c>
      <c r="K1" s="46" t="s">
        <v>176</v>
      </c>
    </row>
    <row r="2">
      <c r="A2" s="47">
        <v>0.0</v>
      </c>
      <c r="B2" s="48">
        <f>-B18</f>
        <v>-126539.9618</v>
      </c>
      <c r="C2" s="49"/>
      <c r="D2" s="49"/>
      <c r="E2" s="48">
        <f>B17</f>
        <v>4217998.725</v>
      </c>
      <c r="F2" s="49"/>
      <c r="G2" s="49"/>
      <c r="H2" s="48">
        <v>0.0</v>
      </c>
      <c r="I2" s="48">
        <f t="shared" ref="I2:I4" si="1">H2+B2</f>
        <v>-126539.9618</v>
      </c>
      <c r="J2" s="48">
        <f t="shared" ref="J2:J12" si="2">I2*(1+$B$15)^(-A2)</f>
        <v>-126539.9618</v>
      </c>
      <c r="K2" s="48">
        <f>J2</f>
        <v>-126539.9618</v>
      </c>
    </row>
    <row r="3">
      <c r="A3" s="47">
        <v>1.0</v>
      </c>
      <c r="B3" s="48">
        <f>-0.6*B17</f>
        <v>-2530799.235</v>
      </c>
      <c r="C3" s="49"/>
      <c r="D3" s="49"/>
      <c r="E3" s="48">
        <f>B17</f>
        <v>4217998.725</v>
      </c>
      <c r="F3" s="49"/>
      <c r="G3" s="49"/>
      <c r="H3" s="48">
        <v>0.0</v>
      </c>
      <c r="I3" s="48">
        <f t="shared" si="1"/>
        <v>-2530799.235</v>
      </c>
      <c r="J3" s="48">
        <f t="shared" si="2"/>
        <v>-2108999.363</v>
      </c>
      <c r="K3" s="48">
        <f t="shared" ref="K3:K12" si="3">K2+J3</f>
        <v>-2235539.324</v>
      </c>
    </row>
    <row r="4">
      <c r="A4" s="47">
        <v>2.0</v>
      </c>
      <c r="B4" s="48">
        <f>-0.4*B17-B19</f>
        <v>-2319899.299</v>
      </c>
      <c r="C4" s="49"/>
      <c r="D4" s="49"/>
      <c r="E4" s="48">
        <f>B17</f>
        <v>4217998.725</v>
      </c>
      <c r="F4" s="49"/>
      <c r="G4" s="49"/>
      <c r="H4" s="48">
        <v>0.0</v>
      </c>
      <c r="I4" s="48">
        <f t="shared" si="1"/>
        <v>-2319899.299</v>
      </c>
      <c r="J4" s="48">
        <f t="shared" si="2"/>
        <v>-1611041.18</v>
      </c>
      <c r="K4" s="48">
        <f t="shared" si="3"/>
        <v>-3846580.504</v>
      </c>
    </row>
    <row r="5">
      <c r="A5" s="47">
        <v>3.0</v>
      </c>
      <c r="B5" s="49"/>
      <c r="C5" s="50">
        <v>0.2</v>
      </c>
      <c r="D5" s="48">
        <f t="shared" ref="D5:D9" si="4">C5*$B$17</f>
        <v>843599.745</v>
      </c>
      <c r="E5" s="48">
        <f t="shared" ref="E5:E9" si="5">E4-D5</f>
        <v>3374398.98</v>
      </c>
      <c r="F5" s="48">
        <f t="shared" ref="F5:F12" si="6">$B$25</f>
        <v>32918568.48</v>
      </c>
      <c r="G5" s="48">
        <v>6.672111296787639E7</v>
      </c>
      <c r="H5" s="48">
        <f t="shared" ref="H5:H12" si="7">(F5-G5-D5)*(1-$B$14)+D5</f>
        <v>-26526854.2</v>
      </c>
      <c r="I5" s="48">
        <f t="shared" ref="I5:I12" si="8">H5</f>
        <v>-26526854.2</v>
      </c>
      <c r="J5" s="48">
        <f t="shared" si="2"/>
        <v>-15351188.77</v>
      </c>
      <c r="K5" s="48">
        <f t="shared" si="3"/>
        <v>-19197769.28</v>
      </c>
    </row>
    <row r="6">
      <c r="A6" s="47">
        <v>4.0</v>
      </c>
      <c r="B6" s="49"/>
      <c r="C6" s="50">
        <v>0.32</v>
      </c>
      <c r="D6" s="48">
        <f t="shared" si="4"/>
        <v>1349759.592</v>
      </c>
      <c r="E6" s="48">
        <f t="shared" si="5"/>
        <v>2024639.388</v>
      </c>
      <c r="F6" s="48">
        <f t="shared" si="6"/>
        <v>32918568.48</v>
      </c>
      <c r="G6" s="48">
        <v>6.672111296787639E7</v>
      </c>
      <c r="H6" s="48">
        <f t="shared" si="7"/>
        <v>-26420560.63</v>
      </c>
      <c r="I6" s="48">
        <f t="shared" si="8"/>
        <v>-26420560.63</v>
      </c>
      <c r="J6" s="48">
        <f t="shared" si="2"/>
        <v>-12741396.91</v>
      </c>
      <c r="K6" s="48">
        <f t="shared" si="3"/>
        <v>-31939166.19</v>
      </c>
    </row>
    <row r="7">
      <c r="A7" s="47">
        <v>5.0</v>
      </c>
      <c r="B7" s="49"/>
      <c r="C7" s="50">
        <v>0.192</v>
      </c>
      <c r="D7" s="48">
        <f t="shared" si="4"/>
        <v>809855.7552</v>
      </c>
      <c r="E7" s="48">
        <f t="shared" si="5"/>
        <v>1214783.633</v>
      </c>
      <c r="F7" s="48">
        <f t="shared" si="6"/>
        <v>32918568.48</v>
      </c>
      <c r="G7" s="48">
        <v>6.672111296787639E7</v>
      </c>
      <c r="H7" s="48">
        <f t="shared" si="7"/>
        <v>-26533940.44</v>
      </c>
      <c r="I7" s="48">
        <f t="shared" si="8"/>
        <v>-26533940.44</v>
      </c>
      <c r="J7" s="48">
        <f t="shared" si="2"/>
        <v>-10663395.56</v>
      </c>
      <c r="K7" s="48">
        <f t="shared" si="3"/>
        <v>-42602561.74</v>
      </c>
    </row>
    <row r="8">
      <c r="A8" s="47">
        <v>6.0</v>
      </c>
      <c r="B8" s="49"/>
      <c r="C8" s="50">
        <v>0.115</v>
      </c>
      <c r="D8" s="48">
        <f t="shared" si="4"/>
        <v>485069.8534</v>
      </c>
      <c r="E8" s="48">
        <f t="shared" si="5"/>
        <v>729713.7794</v>
      </c>
      <c r="F8" s="48">
        <f t="shared" si="6"/>
        <v>32918568.48</v>
      </c>
      <c r="G8" s="48">
        <v>6.672111296787639E7</v>
      </c>
      <c r="H8" s="48">
        <f t="shared" si="7"/>
        <v>-26602145.48</v>
      </c>
      <c r="I8" s="48">
        <f t="shared" si="8"/>
        <v>-26602145.48</v>
      </c>
      <c r="J8" s="48">
        <f t="shared" si="2"/>
        <v>-8909004.695</v>
      </c>
      <c r="K8" s="48">
        <f t="shared" si="3"/>
        <v>-51511566.44</v>
      </c>
    </row>
    <row r="9">
      <c r="A9" s="47">
        <v>7.0</v>
      </c>
      <c r="B9" s="49"/>
      <c r="C9" s="50">
        <v>0.058</v>
      </c>
      <c r="D9" s="48">
        <f t="shared" si="4"/>
        <v>244643.9261</v>
      </c>
      <c r="E9" s="48">
        <f t="shared" si="5"/>
        <v>485069.8534</v>
      </c>
      <c r="F9" s="48">
        <f t="shared" si="6"/>
        <v>32918568.48</v>
      </c>
      <c r="G9" s="48">
        <v>6.672111296787639E7</v>
      </c>
      <c r="H9" s="48">
        <f t="shared" si="7"/>
        <v>-26652634.92</v>
      </c>
      <c r="I9" s="48">
        <f t="shared" si="8"/>
        <v>-26652634.92</v>
      </c>
      <c r="J9" s="48">
        <f t="shared" si="2"/>
        <v>-7438261.257</v>
      </c>
      <c r="K9" s="48">
        <f t="shared" si="3"/>
        <v>-58949827.7</v>
      </c>
    </row>
    <row r="10">
      <c r="A10" s="47">
        <v>8.0</v>
      </c>
      <c r="B10" s="49"/>
      <c r="C10" s="49"/>
      <c r="D10" s="49"/>
      <c r="E10" s="49"/>
      <c r="F10" s="48">
        <f t="shared" si="6"/>
        <v>32918568.48</v>
      </c>
      <c r="G10" s="48">
        <v>6.672111296787639E7</v>
      </c>
      <c r="H10" s="48">
        <f t="shared" si="7"/>
        <v>-26704010.15</v>
      </c>
      <c r="I10" s="48">
        <f t="shared" si="8"/>
        <v>-26704010.15</v>
      </c>
      <c r="J10" s="48">
        <f t="shared" si="2"/>
        <v>-6210499.283</v>
      </c>
      <c r="K10" s="48">
        <f t="shared" si="3"/>
        <v>-65160326.98</v>
      </c>
    </row>
    <row r="11">
      <c r="A11" s="47">
        <v>9.0</v>
      </c>
      <c r="B11" s="49"/>
      <c r="C11" s="49"/>
      <c r="D11" s="49"/>
      <c r="E11" s="49"/>
      <c r="F11" s="48">
        <f t="shared" si="6"/>
        <v>32918568.48</v>
      </c>
      <c r="G11" s="48">
        <v>6.672111296787639E7</v>
      </c>
      <c r="H11" s="48">
        <f t="shared" si="7"/>
        <v>-26704010.15</v>
      </c>
      <c r="I11" s="48">
        <f t="shared" si="8"/>
        <v>-26704010.15</v>
      </c>
      <c r="J11" s="48">
        <f t="shared" si="2"/>
        <v>-5175416.069</v>
      </c>
      <c r="K11" s="48">
        <f t="shared" si="3"/>
        <v>-70335743.05</v>
      </c>
    </row>
    <row r="12">
      <c r="A12" s="47">
        <v>10.0</v>
      </c>
      <c r="B12" s="51"/>
      <c r="C12" s="51"/>
      <c r="D12" s="51"/>
      <c r="E12" s="51"/>
      <c r="F12" s="48">
        <f t="shared" si="6"/>
        <v>32918568.48</v>
      </c>
      <c r="G12" s="48">
        <v>6.672111296787639E7</v>
      </c>
      <c r="H12" s="48">
        <f t="shared" si="7"/>
        <v>-26704010.15</v>
      </c>
      <c r="I12" s="48">
        <f t="shared" si="8"/>
        <v>-26704010.15</v>
      </c>
      <c r="J12" s="48">
        <f t="shared" si="2"/>
        <v>-4312846.724</v>
      </c>
      <c r="K12" s="48">
        <f t="shared" si="3"/>
        <v>-74648589.77</v>
      </c>
    </row>
    <row r="13">
      <c r="A13" s="52"/>
      <c r="B13" s="52"/>
      <c r="C13" s="14"/>
      <c r="D13" s="14"/>
      <c r="E13" s="12"/>
      <c r="F13" s="14"/>
      <c r="G13" s="53"/>
      <c r="H13" s="14"/>
      <c r="I13" s="14"/>
      <c r="J13" s="14"/>
      <c r="K13" s="14"/>
    </row>
    <row r="14">
      <c r="A14" s="54" t="s">
        <v>177</v>
      </c>
      <c r="B14" s="55">
        <v>0.21</v>
      </c>
      <c r="C14" s="14"/>
      <c r="D14" s="14"/>
      <c r="E14" s="14"/>
      <c r="F14" s="14"/>
      <c r="G14" s="53"/>
      <c r="H14" s="14"/>
      <c r="I14" s="14"/>
      <c r="J14" s="14"/>
      <c r="K14" s="14"/>
    </row>
    <row r="15">
      <c r="A15" s="54" t="s">
        <v>178</v>
      </c>
      <c r="B15" s="55">
        <v>0.2</v>
      </c>
      <c r="C15" s="14"/>
      <c r="D15" s="14"/>
      <c r="E15" s="14"/>
      <c r="F15" s="14"/>
      <c r="G15" s="14"/>
      <c r="H15" s="14"/>
      <c r="I15" s="14"/>
      <c r="J15" s="14"/>
      <c r="K15" s="14"/>
    </row>
    <row r="16">
      <c r="A16" s="56" t="s">
        <v>133</v>
      </c>
      <c r="B16" s="57">
        <v>1.553837395165029E7</v>
      </c>
      <c r="C16" s="14"/>
      <c r="D16" s="14"/>
      <c r="E16" s="14"/>
      <c r="F16" s="14"/>
      <c r="G16" s="14"/>
      <c r="H16" s="14"/>
      <c r="I16" s="14"/>
      <c r="J16" s="14"/>
      <c r="K16" s="14"/>
    </row>
    <row r="17">
      <c r="A17" s="54" t="s">
        <v>179</v>
      </c>
      <c r="B17" s="48">
        <f>COM_d!B2</f>
        <v>4217998.725</v>
      </c>
      <c r="C17" s="14"/>
      <c r="D17" s="14"/>
      <c r="E17" s="14"/>
      <c r="F17" s="14"/>
      <c r="G17" s="14"/>
      <c r="H17" s="14"/>
      <c r="I17" s="14"/>
      <c r="J17" s="14"/>
      <c r="K17" s="14"/>
    </row>
    <row r="18">
      <c r="A18" s="58" t="s">
        <v>180</v>
      </c>
      <c r="B18" s="59">
        <f>0.03*B17</f>
        <v>126539.9618</v>
      </c>
      <c r="C18" s="14"/>
      <c r="D18" s="14"/>
      <c r="E18" s="14"/>
      <c r="F18" s="14"/>
      <c r="G18" s="14"/>
      <c r="H18" s="14"/>
      <c r="I18" s="14"/>
      <c r="J18" s="14"/>
      <c r="K18" s="14"/>
    </row>
    <row r="19">
      <c r="A19" s="58" t="s">
        <v>181</v>
      </c>
      <c r="B19" s="59">
        <f>B17*0.15</f>
        <v>632699.8088</v>
      </c>
      <c r="C19" s="14"/>
      <c r="D19" s="14"/>
      <c r="E19" s="14"/>
      <c r="F19" s="14"/>
      <c r="G19" s="14"/>
      <c r="H19" s="14"/>
      <c r="I19" s="14"/>
      <c r="J19" s="14"/>
      <c r="K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>
      <c r="A21" s="52"/>
      <c r="B21" s="52"/>
      <c r="C21" s="52"/>
      <c r="D21" s="52"/>
      <c r="E21" s="60">
        <f>E22*2205</f>
        <v>13891.5</v>
      </c>
      <c r="F21" s="52" t="s">
        <v>182</v>
      </c>
      <c r="G21" s="14"/>
      <c r="H21" s="14"/>
      <c r="I21" s="14"/>
      <c r="J21" s="14"/>
      <c r="K21" s="14"/>
    </row>
    <row r="22">
      <c r="A22" s="61" t="s">
        <v>183</v>
      </c>
      <c r="B22" s="16">
        <f>653.8*333*24</f>
        <v>5225169.6</v>
      </c>
      <c r="C22" s="62" t="s">
        <v>159</v>
      </c>
      <c r="D22" s="51" t="s">
        <v>184</v>
      </c>
      <c r="E22" s="63">
        <v>6.3</v>
      </c>
      <c r="F22" s="51" t="s">
        <v>185</v>
      </c>
      <c r="G22" s="14"/>
      <c r="H22" s="14"/>
      <c r="I22" s="14"/>
      <c r="J22" s="14"/>
      <c r="K22" s="14"/>
    </row>
    <row r="23">
      <c r="A23" s="54"/>
      <c r="B23" s="55"/>
      <c r="C23" s="51"/>
      <c r="D23" s="51" t="s">
        <v>186</v>
      </c>
      <c r="E23" s="64">
        <v>-1.6099858E8</v>
      </c>
      <c r="F23" s="65" t="s">
        <v>187</v>
      </c>
      <c r="G23" s="14"/>
      <c r="H23" s="14"/>
      <c r="I23" s="14"/>
      <c r="J23" s="14"/>
      <c r="K23" s="14"/>
    </row>
    <row r="24">
      <c r="A24" s="54" t="s">
        <v>188</v>
      </c>
      <c r="B24" s="66">
        <v>6.3</v>
      </c>
      <c r="C24" s="62" t="s">
        <v>162</v>
      </c>
      <c r="D24" s="67" t="s">
        <v>189</v>
      </c>
      <c r="E24" s="57">
        <v>0.93</v>
      </c>
      <c r="F24" s="51" t="s">
        <v>185</v>
      </c>
      <c r="G24" s="14"/>
      <c r="H24" s="14"/>
      <c r="I24" s="14"/>
      <c r="J24" s="14"/>
      <c r="K24" s="14"/>
    </row>
    <row r="25">
      <c r="A25" s="54" t="s">
        <v>190</v>
      </c>
      <c r="B25" s="48">
        <f>B24*B22</f>
        <v>32918568.48</v>
      </c>
      <c r="C25" s="51" t="s">
        <v>191</v>
      </c>
      <c r="D25" s="51"/>
      <c r="E25" s="51"/>
      <c r="F25" s="51"/>
      <c r="G25" s="14"/>
      <c r="H25" s="14"/>
      <c r="I25" s="14"/>
      <c r="J25" s="14"/>
      <c r="K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22" t="s">
        <v>3</v>
      </c>
      <c r="B2" s="22" t="s">
        <v>192</v>
      </c>
      <c r="C2" s="22" t="s">
        <v>193</v>
      </c>
      <c r="D2" s="22" t="s">
        <v>194</v>
      </c>
      <c r="E2" s="22" t="s">
        <v>195</v>
      </c>
      <c r="F2" s="22" t="s">
        <v>196</v>
      </c>
      <c r="G2" s="22" t="s">
        <v>129</v>
      </c>
      <c r="H2" s="22" t="s">
        <v>56</v>
      </c>
    </row>
    <row r="3">
      <c r="A3" s="1" t="s">
        <v>19</v>
      </c>
      <c r="B3" s="1" t="s">
        <v>197</v>
      </c>
      <c r="C3" s="1" t="s">
        <v>198</v>
      </c>
      <c r="D3" s="1" t="s">
        <v>199</v>
      </c>
      <c r="E3" s="1" t="s">
        <v>200</v>
      </c>
      <c r="F3" s="5">
        <v>19.921825</v>
      </c>
      <c r="G3" s="1" t="s">
        <v>197</v>
      </c>
      <c r="H3" s="1" t="s">
        <v>197</v>
      </c>
    </row>
    <row r="4">
      <c r="A4" s="1" t="s">
        <v>22</v>
      </c>
      <c r="B4" s="1" t="s">
        <v>197</v>
      </c>
      <c r="C4" s="1" t="s">
        <v>198</v>
      </c>
      <c r="D4" s="1" t="s">
        <v>199</v>
      </c>
      <c r="E4" s="1" t="s">
        <v>200</v>
      </c>
      <c r="F4" s="5">
        <v>12.393925</v>
      </c>
      <c r="G4" s="1" t="s">
        <v>197</v>
      </c>
      <c r="H4" s="1" t="s">
        <v>197</v>
      </c>
    </row>
    <row r="5">
      <c r="A5" s="1" t="s">
        <v>24</v>
      </c>
      <c r="B5" s="1" t="s">
        <v>197</v>
      </c>
      <c r="C5" s="1" t="s">
        <v>198</v>
      </c>
      <c r="D5" s="1" t="s">
        <v>199</v>
      </c>
      <c r="E5" s="1" t="s">
        <v>201</v>
      </c>
      <c r="F5" s="5">
        <v>0.10875</v>
      </c>
      <c r="G5" s="1" t="s">
        <v>197</v>
      </c>
      <c r="H5" s="1" t="s">
        <v>197</v>
      </c>
    </row>
    <row r="6">
      <c r="A6" s="1" t="s">
        <v>27</v>
      </c>
      <c r="B6" s="1" t="s">
        <v>197</v>
      </c>
      <c r="C6" s="1" t="s">
        <v>198</v>
      </c>
      <c r="D6" s="1" t="s">
        <v>199</v>
      </c>
      <c r="E6" s="1" t="s">
        <v>201</v>
      </c>
      <c r="F6" s="5">
        <v>53.70536249999999</v>
      </c>
      <c r="G6" s="1" t="s">
        <v>197</v>
      </c>
      <c r="H6" s="1" t="s">
        <v>197</v>
      </c>
    </row>
    <row r="7">
      <c r="A7" s="1" t="s">
        <v>29</v>
      </c>
      <c r="B7" s="1" t="s">
        <v>197</v>
      </c>
      <c r="C7" s="1" t="s">
        <v>198</v>
      </c>
      <c r="D7" s="1" t="s">
        <v>199</v>
      </c>
      <c r="E7" s="1" t="s">
        <v>200</v>
      </c>
      <c r="F7" s="5">
        <v>10.99875</v>
      </c>
      <c r="G7" s="1" t="s">
        <v>197</v>
      </c>
      <c r="H7" s="1" t="s">
        <v>197</v>
      </c>
    </row>
    <row r="8">
      <c r="A8" s="1" t="s">
        <v>31</v>
      </c>
      <c r="B8" s="1" t="s">
        <v>197</v>
      </c>
      <c r="C8" s="1" t="s">
        <v>198</v>
      </c>
      <c r="D8" s="1" t="s">
        <v>199</v>
      </c>
      <c r="E8" s="1" t="s">
        <v>200</v>
      </c>
      <c r="F8" s="5">
        <v>0.81625</v>
      </c>
      <c r="G8" s="1" t="s">
        <v>197</v>
      </c>
      <c r="H8" s="1" t="s">
        <v>197</v>
      </c>
    </row>
    <row r="9">
      <c r="A9" s="1" t="s">
        <v>16</v>
      </c>
      <c r="B9" s="1">
        <v>80.0</v>
      </c>
      <c r="C9" s="1" t="s">
        <v>198</v>
      </c>
      <c r="D9" s="1" t="s">
        <v>199</v>
      </c>
      <c r="E9" s="1" t="s">
        <v>202</v>
      </c>
      <c r="F9" s="5">
        <v>58.13462499999999</v>
      </c>
      <c r="G9" s="1">
        <v>9.0</v>
      </c>
      <c r="H9" s="1">
        <v>3.0</v>
      </c>
    </row>
    <row r="10">
      <c r="A10" s="1" t="s">
        <v>33</v>
      </c>
      <c r="B10" s="1">
        <v>90.0</v>
      </c>
      <c r="C10" s="1" t="s">
        <v>198</v>
      </c>
      <c r="D10" s="1" t="s">
        <v>199</v>
      </c>
      <c r="E10" s="1" t="s">
        <v>197</v>
      </c>
      <c r="F10" s="5">
        <v>49.67895000000001</v>
      </c>
      <c r="G10" s="1">
        <v>7.0</v>
      </c>
      <c r="H10" s="1">
        <v>3.0</v>
      </c>
    </row>
    <row r="11">
      <c r="A11" s="1" t="s">
        <v>35</v>
      </c>
      <c r="B11" s="1">
        <v>80.0</v>
      </c>
      <c r="C11" s="1" t="s">
        <v>198</v>
      </c>
      <c r="D11" s="1" t="s">
        <v>203</v>
      </c>
      <c r="E11" s="1" t="s">
        <v>204</v>
      </c>
      <c r="F11" s="5">
        <v>38.2975</v>
      </c>
      <c r="G11" s="1">
        <v>5.5</v>
      </c>
      <c r="H11" s="1">
        <v>3.0</v>
      </c>
    </row>
  </sheetData>
  <drawing r:id="rId1"/>
</worksheet>
</file>