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otal Cost" sheetId="1" r:id="rId4"/>
    <sheet state="visible" name="com_d" sheetId="2" r:id="rId5"/>
    <sheet state="visible" name="Utility Costing" sheetId="3" r:id="rId6"/>
    <sheet state="visible" name="Pumps SizingCosting" sheetId="4" r:id="rId7"/>
    <sheet state="visible" name="Vessel SizingCosting" sheetId="5" r:id="rId8"/>
    <sheet state="visible" name="Exchanger SizingCosting" sheetId="6" r:id="rId9"/>
    <sheet state="visible" name="Distillation SizingCosting" sheetId="7" r:id="rId10"/>
  </sheets>
  <definedNames/>
  <calcPr/>
</workbook>
</file>

<file path=xl/sharedStrings.xml><?xml version="1.0" encoding="utf-8"?>
<sst xmlns="http://schemas.openxmlformats.org/spreadsheetml/2006/main" count="261" uniqueCount="172">
  <si>
    <t>Equipment Number</t>
  </si>
  <si>
    <t>Equipment Description</t>
  </si>
  <si>
    <t>Total Cost (2023)</t>
  </si>
  <si>
    <t>Total Bare Module Cost</t>
  </si>
  <si>
    <t>Column Vessel</t>
  </si>
  <si>
    <t>Column Trays</t>
  </si>
  <si>
    <t>Reboiler</t>
  </si>
  <si>
    <t>Condenser</t>
  </si>
  <si>
    <t>Reflux  Pot</t>
  </si>
  <si>
    <t>COM_d</t>
  </si>
  <si>
    <t>COL</t>
  </si>
  <si>
    <t>8 key steps</t>
  </si>
  <si>
    <t>CRM</t>
  </si>
  <si>
    <t>C_UT</t>
  </si>
  <si>
    <t>C_WT</t>
  </si>
  <si>
    <t>FCI</t>
  </si>
  <si>
    <t>Revenue</t>
  </si>
  <si>
    <t xml:space="preserve">*$6.3/kg </t>
  </si>
  <si>
    <t>Cp</t>
  </si>
  <si>
    <t>Fbm</t>
  </si>
  <si>
    <t>Cbm</t>
  </si>
  <si>
    <t>Inflation</t>
  </si>
  <si>
    <t>Total Cost</t>
  </si>
  <si>
    <t>NOL</t>
  </si>
  <si>
    <t>op/shift</t>
  </si>
  <si>
    <t>air free</t>
  </si>
  <si>
    <t>wastewater</t>
  </si>
  <si>
    <t>Heat</t>
  </si>
  <si>
    <t>Xanthan Gum</t>
  </si>
  <si>
    <t>Mixer Cost</t>
  </si>
  <si>
    <t>40 kW</t>
  </si>
  <si>
    <t>Op Labor</t>
  </si>
  <si>
    <t>water?</t>
  </si>
  <si>
    <t>kg/hr</t>
  </si>
  <si>
    <t>/yr</t>
  </si>
  <si>
    <t>TK/V</t>
  </si>
  <si>
    <t>CUT</t>
  </si>
  <si>
    <t xml:space="preserve">round </t>
  </si>
  <si>
    <t>IPA:</t>
  </si>
  <si>
    <t>UF</t>
  </si>
  <si>
    <t>CWT</t>
  </si>
  <si>
    <t>Salary</t>
  </si>
  <si>
    <t>kg/yr</t>
  </si>
  <si>
    <t>Pumps</t>
  </si>
  <si>
    <t>Column</t>
  </si>
  <si>
    <t>Cost IPA</t>
  </si>
  <si>
    <t>$/kg</t>
  </si>
  <si>
    <t>Misc</t>
  </si>
  <si>
    <t>total</t>
  </si>
  <si>
    <t>Annual IPA Cost</t>
  </si>
  <si>
    <t>manufacturing</t>
  </si>
  <si>
    <t>$/gal</t>
  </si>
  <si>
    <t>$/l</t>
  </si>
  <si>
    <t>Exchanger Sizing</t>
  </si>
  <si>
    <t>Tcin (C)</t>
  </si>
  <si>
    <t>Tcout (C)</t>
  </si>
  <si>
    <t>Thin (C)</t>
  </si>
  <si>
    <t>Thout (C)</t>
  </si>
  <si>
    <t xml:space="preserve">Utility </t>
  </si>
  <si>
    <t>Q (Watts)</t>
  </si>
  <si>
    <t>U (W/m2K)</t>
  </si>
  <si>
    <t>deltaT1</t>
  </si>
  <si>
    <t>deltaT2</t>
  </si>
  <si>
    <t>deltaTLM</t>
  </si>
  <si>
    <t>A (m^2)</t>
  </si>
  <si>
    <t>E-103</t>
  </si>
  <si>
    <t>Bottoms to Precipitation Exchanger</t>
  </si>
  <si>
    <t xml:space="preserve">- </t>
  </si>
  <si>
    <t>E-102</t>
  </si>
  <si>
    <t>Column Reboiler</t>
  </si>
  <si>
    <t>LPS</t>
  </si>
  <si>
    <t>E-*</t>
  </si>
  <si>
    <t>Column Air Condenser</t>
  </si>
  <si>
    <t>Air</t>
  </si>
  <si>
    <t>Cost</t>
  </si>
  <si>
    <t>Utility Flow Rates</t>
  </si>
  <si>
    <t>Utility Type</t>
  </si>
  <si>
    <t>Q (Watt)</t>
  </si>
  <si>
    <t>Latent Heat (J/kg)</t>
  </si>
  <si>
    <t>Specific Heat (J/kgK)</t>
  </si>
  <si>
    <t>T1</t>
  </si>
  <si>
    <t>T2</t>
  </si>
  <si>
    <t>Delta T</t>
  </si>
  <si>
    <t>Mass Flow Rate (kg/s)</t>
  </si>
  <si>
    <t>Mass Flow Rate (kg/hr)</t>
  </si>
  <si>
    <t>MT/year</t>
  </si>
  <si>
    <t>Volumetric Flow (gal/year)</t>
  </si>
  <si>
    <t>$/year</t>
  </si>
  <si>
    <t>-</t>
  </si>
  <si>
    <t>cost = .07/kwH</t>
  </si>
  <si>
    <t>kW</t>
  </si>
  <si>
    <t>kWh/year</t>
  </si>
  <si>
    <t>Total Cost/year</t>
  </si>
  <si>
    <t xml:space="preserve">CSTR Stirring </t>
  </si>
  <si>
    <t xml:space="preserve">electricity </t>
  </si>
  <si>
    <t>*Upscaled using P:V Ratio</t>
  </si>
  <si>
    <t>P-104 A/B</t>
  </si>
  <si>
    <t>Column Reflux Pumps</t>
  </si>
  <si>
    <t>P-103</t>
  </si>
  <si>
    <t>Into Column</t>
  </si>
  <si>
    <t>P-102</t>
  </si>
  <si>
    <t>electricity</t>
  </si>
  <si>
    <t xml:space="preserve">Total </t>
  </si>
  <si>
    <t>Total Utilities</t>
  </si>
  <si>
    <t>Mass Flow (kg/hr)</t>
  </si>
  <si>
    <t>Density (kg/m^3)</t>
  </si>
  <si>
    <t>deltaP (bar)</t>
  </si>
  <si>
    <t>deltaP (Pa)</t>
  </si>
  <si>
    <t>Efficiency</t>
  </si>
  <si>
    <t>Power (kW)</t>
  </si>
  <si>
    <t>Fm</t>
  </si>
  <si>
    <t>Fp</t>
  </si>
  <si>
    <t>Total (1 pump)</t>
  </si>
  <si>
    <t>Total (2 pumps)</t>
  </si>
  <si>
    <t>*SS centrifugal</t>
  </si>
  <si>
    <t>Residence Time (hr)</t>
  </si>
  <si>
    <t xml:space="preserve">Level </t>
  </si>
  <si>
    <t>Tank Size (m^3)</t>
  </si>
  <si>
    <t>Diameter (m)</t>
  </si>
  <si>
    <t>Height (m)</t>
  </si>
  <si>
    <t>Actual Diameter (m)</t>
  </si>
  <si>
    <t>Actual Height (m)</t>
  </si>
  <si>
    <t>Total Cost (2022)</t>
  </si>
  <si>
    <t>V-103</t>
  </si>
  <si>
    <t>IPA/Water Distillation Column Reflux Pot</t>
  </si>
  <si>
    <t>Unit</t>
  </si>
  <si>
    <t>Min Capacity (L)</t>
  </si>
  <si>
    <t>Assume 80% full (L)</t>
  </si>
  <si>
    <t>m^3</t>
  </si>
  <si>
    <t>note</t>
  </si>
  <si>
    <t>Height/Diameter</t>
  </si>
  <si>
    <t>cbm</t>
  </si>
  <si>
    <t>inflation</t>
  </si>
  <si>
    <t>V-101</t>
  </si>
  <si>
    <t>use H=12 and D=4</t>
  </si>
  <si>
    <t>*CS, vertical, fig 5.44</t>
  </si>
  <si>
    <t>TK-101</t>
  </si>
  <si>
    <t>N/A</t>
  </si>
  <si>
    <t>*stream 6, recycled broth</t>
  </si>
  <si>
    <t>*CS, cone roof, fig 5.61</t>
  </si>
  <si>
    <t>Tk-102</t>
  </si>
  <si>
    <t>*stream 9, after UF</t>
  </si>
  <si>
    <t>TK-103</t>
  </si>
  <si>
    <t>333 days</t>
  </si>
  <si>
    <t xml:space="preserve">*7 day supply, floating roof due to flammability </t>
  </si>
  <si>
    <t>TK-104</t>
  </si>
  <si>
    <t>*mixed IPA storage</t>
  </si>
  <si>
    <t>TK-105</t>
  </si>
  <si>
    <t>*stream 20 to WWT</t>
  </si>
  <si>
    <t>TK-106</t>
  </si>
  <si>
    <t>*stream 33, out of scope??</t>
  </si>
  <si>
    <t xml:space="preserve">V-102 </t>
  </si>
  <si>
    <t>*waste liqour, stream 12 and 14</t>
  </si>
  <si>
    <t>*reflux drum, stream 22</t>
  </si>
  <si>
    <t xml:space="preserve">total tank </t>
  </si>
  <si>
    <t>*CS, 5 min residence time, vertical orientation</t>
  </si>
  <si>
    <t>E-101</t>
  </si>
  <si>
    <t>Description</t>
  </si>
  <si>
    <t># Aspen Stages</t>
  </si>
  <si>
    <t>Tray Efficiency</t>
  </si>
  <si>
    <t># Actual Trays</t>
  </si>
  <si>
    <t>Tray Spacing (m)</t>
  </si>
  <si>
    <t>Vapor Liquid Disengagement Space (m)</t>
  </si>
  <si>
    <t>Total Height (m)</t>
  </si>
  <si>
    <t>Total</t>
  </si>
  <si>
    <t>IPA Column Vessel</t>
  </si>
  <si>
    <t>Tray Type</t>
  </si>
  <si>
    <t>Number of Trays</t>
  </si>
  <si>
    <t>Cpss</t>
  </si>
  <si>
    <t>Fq</t>
  </si>
  <si>
    <t>Sieve Tray</t>
  </si>
  <si>
    <t>total dist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</si>
</sst>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&quot;$&quot;#,##0"/>
  </numFmts>
  <fonts count="6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color rgb="FF000000"/>
      <name val="Arial"/>
    </font>
    <font>
      <strike/>
      <color theme="1"/>
      <name val="Arial"/>
    </font>
    <font>
      <b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FF0000"/>
        <bgColor rgb="FFFF0000"/>
      </patternFill>
    </fill>
  </fills>
  <borders count="1">
    <border/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4" xfId="0" applyFont="1" applyNumberFormat="1"/>
    <xf borderId="0" fillId="2" fontId="2" numFmtId="0" xfId="0" applyAlignment="1" applyFill="1" applyFont="1">
      <alignment vertical="bottom"/>
    </xf>
    <xf borderId="0" fillId="2" fontId="2" numFmtId="164" xfId="0" applyAlignment="1" applyFont="1" applyNumberFormat="1">
      <alignment horizontal="right" vertical="bottom"/>
    </xf>
    <xf borderId="0" fillId="0" fontId="2" numFmtId="0" xfId="0" applyAlignment="1" applyFont="1">
      <alignment vertical="bottom"/>
    </xf>
    <xf borderId="0" fillId="3" fontId="2" numFmtId="0" xfId="0" applyAlignment="1" applyFill="1" applyFont="1">
      <alignment readingOrder="0" vertical="bottom"/>
    </xf>
    <xf borderId="0" fillId="4" fontId="2" numFmtId="0" xfId="0" applyAlignment="1" applyFill="1" applyFont="1">
      <alignment vertical="bottom"/>
    </xf>
    <xf borderId="0" fillId="5" fontId="2" numFmtId="164" xfId="0" applyAlignment="1" applyFill="1" applyFont="1" applyNumberFormat="1">
      <alignment horizontal="right" vertical="bottom"/>
    </xf>
    <xf borderId="0" fillId="0" fontId="2" numFmtId="0" xfId="0" applyAlignment="1" applyFont="1">
      <alignment horizontal="right" vertical="bottom"/>
    </xf>
    <xf borderId="0" fillId="0" fontId="3" numFmtId="164" xfId="0" applyAlignment="1" applyFont="1" applyNumberFormat="1">
      <alignment horizontal="right" vertical="bottom"/>
    </xf>
    <xf borderId="0" fillId="3" fontId="2" numFmtId="164" xfId="0" applyAlignment="1" applyFont="1" applyNumberFormat="1">
      <alignment horizontal="right" vertical="bottom"/>
    </xf>
    <xf borderId="0" fillId="4" fontId="2" numFmtId="164" xfId="0" applyAlignment="1" applyFont="1" applyNumberFormat="1">
      <alignment horizontal="right" vertical="bottom"/>
    </xf>
    <xf borderId="0" fillId="0" fontId="1" numFmtId="11" xfId="0" applyAlignment="1" applyFont="1" applyNumberFormat="1">
      <alignment readingOrder="0"/>
    </xf>
    <xf borderId="0" fillId="0" fontId="1" numFmtId="11" xfId="0" applyFont="1" applyNumberFormat="1"/>
    <xf borderId="0" fillId="0" fontId="1" numFmtId="0" xfId="0" applyFont="1"/>
    <xf borderId="0" fillId="4" fontId="3" numFmtId="164" xfId="0" applyAlignment="1" applyFont="1" applyNumberFormat="1">
      <alignment horizontal="right" vertical="bottom"/>
    </xf>
    <xf borderId="0" fillId="0" fontId="2" numFmtId="164" xfId="0" applyAlignment="1" applyFont="1" applyNumberFormat="1">
      <alignment vertical="bottom"/>
    </xf>
    <xf borderId="0" fillId="3" fontId="2" numFmtId="4" xfId="0" applyAlignment="1" applyFont="1" applyNumberFormat="1">
      <alignment horizontal="right" readingOrder="0" vertical="bottom"/>
    </xf>
    <xf borderId="0" fillId="3" fontId="2" numFmtId="164" xfId="0" applyAlignment="1" applyFont="1" applyNumberFormat="1">
      <alignment readingOrder="0" vertical="bottom"/>
    </xf>
    <xf borderId="0" fillId="0" fontId="2" numFmtId="164" xfId="0" applyAlignment="1" applyFont="1" applyNumberFormat="1">
      <alignment horizontal="right" vertical="bottom"/>
    </xf>
    <xf borderId="0" fillId="0" fontId="2" numFmtId="3" xfId="0" applyAlignment="1" applyFont="1" applyNumberFormat="1">
      <alignment horizontal="right" vertical="bottom"/>
    </xf>
    <xf borderId="0" fillId="3" fontId="2" numFmtId="4" xfId="0" applyAlignment="1" applyFont="1" applyNumberFormat="1">
      <alignment horizontal="right" vertical="bottom"/>
    </xf>
    <xf borderId="0" fillId="0" fontId="4" numFmtId="0" xfId="0" applyAlignment="1" applyFont="1">
      <alignment readingOrder="0" vertical="bottom"/>
    </xf>
    <xf borderId="0" fillId="0" fontId="2" numFmtId="0" xfId="0" applyAlignment="1" applyFont="1">
      <alignment readingOrder="0" vertical="bottom"/>
    </xf>
    <xf borderId="0" fillId="0" fontId="5" numFmtId="0" xfId="0" applyAlignment="1" applyFont="1">
      <alignment vertical="bottom"/>
    </xf>
    <xf borderId="0" fillId="0" fontId="2" numFmtId="0" xfId="0" applyAlignment="1" applyFont="1">
      <alignment horizontal="right" readingOrder="0" vertical="bottom"/>
    </xf>
    <xf borderId="0" fillId="0" fontId="2" numFmtId="11" xfId="0" applyAlignment="1" applyFont="1" applyNumberFormat="1">
      <alignment horizontal="right" vertical="bottom"/>
    </xf>
    <xf borderId="0" fillId="3" fontId="2" numFmtId="0" xfId="0" applyAlignment="1" applyFont="1">
      <alignment vertical="bottom"/>
    </xf>
    <xf borderId="0" fillId="3" fontId="2" numFmtId="0" xfId="0" applyAlignment="1" applyFont="1">
      <alignment horizontal="right" vertical="bottom"/>
    </xf>
    <xf borderId="0" fillId="3" fontId="2" numFmtId="0" xfId="0" applyAlignment="1" applyFont="1">
      <alignment shrinkToFit="0" vertical="bottom" wrapText="0"/>
    </xf>
    <xf borderId="0" fillId="3" fontId="1" numFmtId="0" xfId="0" applyFont="1"/>
    <xf borderId="0" fillId="0" fontId="2" numFmtId="4" xfId="0" applyAlignment="1" applyFont="1" applyNumberFormat="1">
      <alignment horizontal="right" readingOrder="0" vertical="bottom"/>
    </xf>
    <xf borderId="0" fillId="0" fontId="5" numFmtId="0" xfId="0" applyAlignment="1" applyFont="1">
      <alignment readingOrder="0" vertical="bottom"/>
    </xf>
    <xf borderId="0" fillId="0" fontId="2" numFmtId="11" xfId="0" applyAlignment="1" applyFont="1" applyNumberFormat="1">
      <alignment horizontal="right" readingOrder="0" vertical="bottom"/>
    </xf>
    <xf borderId="0" fillId="0" fontId="2" numFmtId="0" xfId="0" applyAlignment="1" applyFont="1">
      <alignment shrinkToFit="0" vertical="bottom" wrapText="0"/>
    </xf>
    <xf borderId="0" fillId="0" fontId="2" numFmtId="4" xfId="0" applyAlignment="1" applyFont="1" applyNumberFormat="1">
      <alignment horizontal="right" vertical="bottom"/>
    </xf>
    <xf borderId="0" fillId="0" fontId="2" numFmtId="0" xfId="0" applyAlignment="1" applyFont="1">
      <alignment readingOrder="0" shrinkToFit="0" vertical="bottom" wrapText="0"/>
    </xf>
    <xf borderId="0" fillId="0" fontId="2" numFmtId="165" xfId="0" applyAlignment="1" applyFont="1" applyNumberFormat="1">
      <alignment horizontal="right" vertical="bottom"/>
    </xf>
    <xf borderId="0" fillId="4" fontId="2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38"/>
    <col customWidth="1" min="2" max="2" width="17.75"/>
    <col customWidth="1" min="3" max="3" width="13.75"/>
    <col customWidth="1" min="5" max="5" width="18.38"/>
  </cols>
  <sheetData>
    <row r="1">
      <c r="A1" s="1" t="s">
        <v>0</v>
      </c>
      <c r="B1" s="1" t="s">
        <v>1</v>
      </c>
      <c r="C1" s="2" t="s">
        <v>2</v>
      </c>
      <c r="E1" s="1" t="s">
        <v>3</v>
      </c>
      <c r="F1" s="3">
        <f>sum(C:C)</f>
        <v>4879881.3</v>
      </c>
    </row>
    <row r="2">
      <c r="B2" s="1" t="s">
        <v>4</v>
      </c>
      <c r="C2" s="3">
        <v>1038750.0000000001</v>
      </c>
    </row>
    <row r="3">
      <c r="B3" s="1" t="s">
        <v>5</v>
      </c>
      <c r="C3" s="3">
        <v>1065383.55</v>
      </c>
    </row>
    <row r="4">
      <c r="B4" s="1" t="s">
        <v>6</v>
      </c>
      <c r="C4" s="3">
        <v>1288050.0</v>
      </c>
    </row>
    <row r="5">
      <c r="B5" s="1" t="s">
        <v>7</v>
      </c>
      <c r="C5" s="3">
        <v>1223647.5</v>
      </c>
    </row>
    <row r="6">
      <c r="B6" s="1" t="s">
        <v>8</v>
      </c>
      <c r="C6" s="3">
        <v>264050.25</v>
      </c>
    </row>
    <row r="7">
      <c r="C7" s="3"/>
    </row>
    <row r="8">
      <c r="C8" s="3"/>
    </row>
    <row r="9">
      <c r="C9" s="3"/>
    </row>
    <row r="10">
      <c r="C10" s="3"/>
    </row>
    <row r="11">
      <c r="C11" s="3"/>
    </row>
    <row r="12">
      <c r="C12" s="3"/>
    </row>
    <row r="13">
      <c r="C13" s="3"/>
    </row>
    <row r="14">
      <c r="C14" s="3"/>
    </row>
    <row r="15">
      <c r="C15" s="3"/>
    </row>
    <row r="16">
      <c r="C16" s="3"/>
    </row>
    <row r="17">
      <c r="C17" s="3"/>
    </row>
    <row r="18">
      <c r="C18" s="3"/>
    </row>
    <row r="19">
      <c r="C19" s="3"/>
    </row>
    <row r="20">
      <c r="C20" s="3"/>
    </row>
    <row r="21">
      <c r="C21" s="3"/>
    </row>
    <row r="22">
      <c r="C22" s="3"/>
    </row>
    <row r="23">
      <c r="C23" s="3"/>
    </row>
    <row r="24">
      <c r="C24" s="3"/>
    </row>
    <row r="25">
      <c r="C25" s="3"/>
    </row>
    <row r="26">
      <c r="C26" s="3"/>
    </row>
    <row r="27">
      <c r="C27" s="3"/>
    </row>
    <row r="28">
      <c r="C28" s="3"/>
    </row>
    <row r="29">
      <c r="C29" s="3"/>
    </row>
    <row r="30">
      <c r="C30" s="3"/>
    </row>
    <row r="31">
      <c r="C31" s="3"/>
    </row>
    <row r="32">
      <c r="C32" s="3"/>
    </row>
    <row r="33">
      <c r="C33" s="3"/>
    </row>
    <row r="34">
      <c r="C34" s="3"/>
    </row>
    <row r="35">
      <c r="C35" s="3"/>
    </row>
    <row r="36">
      <c r="C36" s="3"/>
    </row>
    <row r="37">
      <c r="C37" s="3"/>
    </row>
    <row r="38">
      <c r="C38" s="3"/>
    </row>
    <row r="39">
      <c r="C39" s="3"/>
    </row>
    <row r="40">
      <c r="C40" s="3"/>
    </row>
    <row r="41">
      <c r="C41" s="3"/>
    </row>
    <row r="42">
      <c r="C42" s="3"/>
    </row>
    <row r="43">
      <c r="C43" s="3"/>
    </row>
    <row r="44">
      <c r="C44" s="3"/>
    </row>
    <row r="45">
      <c r="C45" s="3"/>
    </row>
    <row r="46">
      <c r="C46" s="3"/>
    </row>
    <row r="47">
      <c r="C47" s="3"/>
    </row>
    <row r="48">
      <c r="C48" s="3"/>
    </row>
    <row r="49">
      <c r="C49" s="3"/>
    </row>
    <row r="50">
      <c r="C50" s="3"/>
    </row>
    <row r="51">
      <c r="C51" s="3"/>
    </row>
    <row r="52">
      <c r="C52" s="3"/>
    </row>
    <row r="53">
      <c r="C53" s="3"/>
    </row>
    <row r="54">
      <c r="C54" s="3"/>
    </row>
    <row r="55">
      <c r="C55" s="3"/>
    </row>
    <row r="56">
      <c r="C56" s="3"/>
    </row>
    <row r="57">
      <c r="C57" s="3"/>
    </row>
    <row r="58">
      <c r="C58" s="3"/>
    </row>
    <row r="59">
      <c r="C59" s="3"/>
    </row>
    <row r="60">
      <c r="C60" s="3"/>
    </row>
    <row r="61">
      <c r="C61" s="3"/>
    </row>
    <row r="62">
      <c r="C62" s="3"/>
    </row>
    <row r="63">
      <c r="C63" s="3"/>
    </row>
    <row r="64">
      <c r="C64" s="3"/>
    </row>
    <row r="65">
      <c r="C65" s="3"/>
    </row>
    <row r="66">
      <c r="C66" s="3"/>
    </row>
    <row r="67">
      <c r="C67" s="3"/>
    </row>
    <row r="68">
      <c r="C68" s="3"/>
    </row>
    <row r="69">
      <c r="C69" s="3"/>
    </row>
    <row r="70">
      <c r="C70" s="3"/>
    </row>
    <row r="71">
      <c r="C71" s="3"/>
    </row>
    <row r="72">
      <c r="C72" s="3"/>
    </row>
    <row r="73">
      <c r="C73" s="3"/>
    </row>
    <row r="74">
      <c r="C74" s="3"/>
    </row>
    <row r="75">
      <c r="C75" s="3"/>
    </row>
    <row r="76">
      <c r="C76" s="3"/>
    </row>
    <row r="77">
      <c r="C77" s="3"/>
    </row>
    <row r="78">
      <c r="C78" s="3"/>
    </row>
    <row r="79">
      <c r="C79" s="3"/>
    </row>
    <row r="80">
      <c r="C80" s="3"/>
    </row>
    <row r="81">
      <c r="C81" s="3"/>
    </row>
    <row r="82">
      <c r="C82" s="3"/>
    </row>
    <row r="83">
      <c r="C83" s="3"/>
    </row>
    <row r="84">
      <c r="C84" s="3"/>
    </row>
    <row r="85">
      <c r="C85" s="3"/>
    </row>
    <row r="86">
      <c r="C86" s="3"/>
    </row>
    <row r="87">
      <c r="C87" s="3"/>
    </row>
    <row r="88">
      <c r="C88" s="3"/>
    </row>
    <row r="89">
      <c r="C89" s="3"/>
    </row>
    <row r="90">
      <c r="C90" s="3"/>
    </row>
    <row r="91">
      <c r="C91" s="3"/>
    </row>
    <row r="92">
      <c r="C92" s="3"/>
    </row>
    <row r="93">
      <c r="C93" s="3"/>
    </row>
    <row r="94">
      <c r="C94" s="3"/>
    </row>
    <row r="95">
      <c r="C95" s="3"/>
    </row>
    <row r="96">
      <c r="C96" s="3"/>
    </row>
    <row r="97">
      <c r="C97" s="3"/>
    </row>
    <row r="98">
      <c r="C98" s="3"/>
    </row>
    <row r="99">
      <c r="C99" s="3"/>
    </row>
    <row r="100">
      <c r="C100" s="3"/>
    </row>
    <row r="101">
      <c r="C101" s="3"/>
    </row>
    <row r="102">
      <c r="C102" s="3"/>
    </row>
    <row r="103">
      <c r="C103" s="3"/>
    </row>
    <row r="104">
      <c r="C104" s="3"/>
    </row>
    <row r="105">
      <c r="C105" s="3"/>
    </row>
    <row r="106">
      <c r="C106" s="3"/>
    </row>
    <row r="107">
      <c r="C107" s="3"/>
    </row>
    <row r="108">
      <c r="C108" s="3"/>
    </row>
    <row r="109">
      <c r="C109" s="3"/>
    </row>
    <row r="110">
      <c r="C110" s="3"/>
    </row>
    <row r="111">
      <c r="C111" s="3"/>
    </row>
    <row r="112">
      <c r="C112" s="3"/>
    </row>
    <row r="113">
      <c r="C113" s="3"/>
    </row>
    <row r="114">
      <c r="C114" s="3"/>
    </row>
    <row r="115">
      <c r="C115" s="3"/>
    </row>
    <row r="116">
      <c r="C116" s="3"/>
    </row>
    <row r="117">
      <c r="C117" s="3"/>
    </row>
    <row r="118">
      <c r="C118" s="3"/>
    </row>
    <row r="119">
      <c r="C119" s="3"/>
    </row>
    <row r="120">
      <c r="C120" s="3"/>
    </row>
    <row r="121">
      <c r="C121" s="3"/>
    </row>
    <row r="122">
      <c r="C122" s="3"/>
    </row>
    <row r="123">
      <c r="C123" s="3"/>
    </row>
    <row r="124">
      <c r="C124" s="3"/>
    </row>
    <row r="125">
      <c r="C125" s="3"/>
    </row>
    <row r="126">
      <c r="C126" s="3"/>
    </row>
    <row r="127">
      <c r="C127" s="3"/>
    </row>
    <row r="128">
      <c r="C128" s="3"/>
    </row>
    <row r="129">
      <c r="C129" s="3"/>
    </row>
    <row r="130">
      <c r="C130" s="3"/>
    </row>
    <row r="131">
      <c r="C131" s="3"/>
    </row>
    <row r="132">
      <c r="C132" s="3"/>
    </row>
    <row r="133">
      <c r="C133" s="3"/>
    </row>
    <row r="134">
      <c r="C134" s="3"/>
    </row>
    <row r="135">
      <c r="C135" s="3"/>
    </row>
    <row r="136">
      <c r="C136" s="3"/>
    </row>
    <row r="137">
      <c r="C137" s="3"/>
    </row>
    <row r="138">
      <c r="C138" s="3"/>
    </row>
    <row r="139">
      <c r="C139" s="3"/>
    </row>
    <row r="140">
      <c r="C140" s="3"/>
    </row>
    <row r="141">
      <c r="C141" s="3"/>
    </row>
    <row r="142">
      <c r="C142" s="3"/>
    </row>
    <row r="143">
      <c r="C143" s="3"/>
    </row>
    <row r="144">
      <c r="C144" s="3"/>
    </row>
    <row r="145">
      <c r="C145" s="3"/>
    </row>
    <row r="146">
      <c r="C146" s="3"/>
    </row>
    <row r="147">
      <c r="C147" s="3"/>
    </row>
    <row r="148">
      <c r="C148" s="3"/>
    </row>
    <row r="149">
      <c r="C149" s="3"/>
    </row>
    <row r="150">
      <c r="C150" s="3"/>
    </row>
    <row r="151">
      <c r="C151" s="3"/>
    </row>
    <row r="152">
      <c r="C152" s="3"/>
    </row>
    <row r="153">
      <c r="C153" s="3"/>
    </row>
    <row r="154">
      <c r="C154" s="3"/>
    </row>
    <row r="155">
      <c r="C155" s="3"/>
    </row>
    <row r="156">
      <c r="C156" s="3"/>
    </row>
    <row r="157">
      <c r="C157" s="3"/>
    </row>
    <row r="158">
      <c r="C158" s="3"/>
    </row>
    <row r="159">
      <c r="C159" s="3"/>
    </row>
    <row r="160">
      <c r="C160" s="3"/>
    </row>
    <row r="161">
      <c r="C161" s="3"/>
    </row>
    <row r="162">
      <c r="C162" s="3"/>
    </row>
    <row r="163">
      <c r="C163" s="3"/>
    </row>
    <row r="164">
      <c r="C164" s="3"/>
    </row>
    <row r="165">
      <c r="C165" s="3"/>
    </row>
    <row r="166">
      <c r="C166" s="3"/>
    </row>
    <row r="167">
      <c r="C167" s="3"/>
    </row>
    <row r="168">
      <c r="C168" s="3"/>
    </row>
    <row r="169">
      <c r="C169" s="3"/>
    </row>
    <row r="170">
      <c r="C170" s="3"/>
    </row>
    <row r="171">
      <c r="C171" s="3"/>
    </row>
    <row r="172">
      <c r="C172" s="3"/>
    </row>
    <row r="173">
      <c r="C173" s="3"/>
    </row>
    <row r="174">
      <c r="C174" s="3"/>
    </row>
    <row r="175">
      <c r="C175" s="3"/>
    </row>
    <row r="176">
      <c r="C176" s="3"/>
    </row>
    <row r="177">
      <c r="C177" s="3"/>
    </row>
    <row r="178">
      <c r="C178" s="3"/>
    </row>
    <row r="179">
      <c r="C179" s="3"/>
    </row>
    <row r="180">
      <c r="C180" s="3"/>
    </row>
    <row r="181">
      <c r="C181" s="3"/>
    </row>
    <row r="182">
      <c r="C182" s="3"/>
    </row>
    <row r="183">
      <c r="C183" s="3"/>
    </row>
    <row r="184">
      <c r="C184" s="3"/>
    </row>
    <row r="185">
      <c r="C185" s="3"/>
    </row>
    <row r="186">
      <c r="C186" s="3"/>
    </row>
    <row r="187">
      <c r="C187" s="3"/>
    </row>
    <row r="188">
      <c r="C188" s="3"/>
    </row>
    <row r="189">
      <c r="C189" s="3"/>
    </row>
    <row r="190">
      <c r="C190" s="3"/>
    </row>
    <row r="191">
      <c r="C191" s="3"/>
    </row>
    <row r="192">
      <c r="C192" s="3"/>
    </row>
    <row r="193">
      <c r="C193" s="3"/>
    </row>
    <row r="194">
      <c r="C194" s="3"/>
    </row>
    <row r="195">
      <c r="C195" s="3"/>
    </row>
    <row r="196">
      <c r="C196" s="3"/>
    </row>
    <row r="197">
      <c r="C197" s="3"/>
    </row>
    <row r="198">
      <c r="C198" s="3"/>
    </row>
    <row r="199">
      <c r="C199" s="3"/>
    </row>
    <row r="200">
      <c r="C200" s="3"/>
    </row>
    <row r="201">
      <c r="C201" s="3"/>
    </row>
    <row r="202">
      <c r="C202" s="3"/>
    </row>
    <row r="203">
      <c r="C203" s="3"/>
    </row>
    <row r="204">
      <c r="C204" s="3"/>
    </row>
    <row r="205">
      <c r="C205" s="3"/>
    </row>
    <row r="206">
      <c r="C206" s="3"/>
    </row>
    <row r="207">
      <c r="C207" s="3"/>
    </row>
    <row r="208">
      <c r="C208" s="3"/>
    </row>
    <row r="209">
      <c r="C209" s="3"/>
    </row>
    <row r="210">
      <c r="C210" s="3"/>
    </row>
    <row r="211">
      <c r="C211" s="3"/>
    </row>
    <row r="212">
      <c r="C212" s="3"/>
    </row>
    <row r="213">
      <c r="C213" s="3"/>
    </row>
    <row r="214">
      <c r="C214" s="3"/>
    </row>
    <row r="215">
      <c r="C215" s="3"/>
    </row>
    <row r="216">
      <c r="C216" s="3"/>
    </row>
    <row r="217">
      <c r="C217" s="3"/>
    </row>
    <row r="218">
      <c r="C218" s="3"/>
    </row>
    <row r="219">
      <c r="C219" s="3"/>
    </row>
    <row r="220">
      <c r="C220" s="3"/>
    </row>
    <row r="221">
      <c r="C221" s="3"/>
    </row>
    <row r="222">
      <c r="C222" s="3"/>
    </row>
    <row r="223">
      <c r="C223" s="3"/>
    </row>
    <row r="224">
      <c r="C224" s="3"/>
    </row>
    <row r="225">
      <c r="C225" s="3"/>
    </row>
    <row r="226">
      <c r="C226" s="3"/>
    </row>
    <row r="227">
      <c r="C227" s="3"/>
    </row>
    <row r="228">
      <c r="C228" s="3"/>
    </row>
    <row r="229">
      <c r="C229" s="3"/>
    </row>
    <row r="230">
      <c r="C230" s="3"/>
    </row>
    <row r="231">
      <c r="C231" s="3"/>
    </row>
    <row r="232">
      <c r="C232" s="3"/>
    </row>
    <row r="233">
      <c r="C233" s="3"/>
    </row>
    <row r="234">
      <c r="C234" s="3"/>
    </row>
    <row r="235">
      <c r="C235" s="3"/>
    </row>
    <row r="236">
      <c r="C236" s="3"/>
    </row>
    <row r="237">
      <c r="C237" s="3"/>
    </row>
    <row r="238">
      <c r="C238" s="3"/>
    </row>
    <row r="239">
      <c r="C239" s="3"/>
    </row>
    <row r="240">
      <c r="C240" s="3"/>
    </row>
    <row r="241">
      <c r="C241" s="3"/>
    </row>
    <row r="242">
      <c r="C242" s="3"/>
    </row>
    <row r="243">
      <c r="C243" s="3"/>
    </row>
    <row r="244">
      <c r="C244" s="3"/>
    </row>
    <row r="245">
      <c r="C245" s="3"/>
    </row>
    <row r="246">
      <c r="C246" s="3"/>
    </row>
    <row r="247">
      <c r="C247" s="3"/>
    </row>
    <row r="248">
      <c r="C248" s="3"/>
    </row>
    <row r="249">
      <c r="C249" s="3"/>
    </row>
    <row r="250">
      <c r="C250" s="3"/>
    </row>
    <row r="251">
      <c r="C251" s="3"/>
    </row>
    <row r="252">
      <c r="C252" s="3"/>
    </row>
    <row r="253">
      <c r="C253" s="3"/>
    </row>
    <row r="254">
      <c r="C254" s="3"/>
    </row>
    <row r="255">
      <c r="C255" s="3"/>
    </row>
    <row r="256">
      <c r="C256" s="3"/>
    </row>
    <row r="257">
      <c r="C257" s="3"/>
    </row>
    <row r="258">
      <c r="C258" s="3"/>
    </row>
    <row r="259">
      <c r="C259" s="3"/>
    </row>
    <row r="260">
      <c r="C260" s="3"/>
    </row>
    <row r="261">
      <c r="C261" s="3"/>
    </row>
    <row r="262">
      <c r="C262" s="3"/>
    </row>
    <row r="263">
      <c r="C263" s="3"/>
    </row>
    <row r="264">
      <c r="C264" s="3"/>
    </row>
    <row r="265">
      <c r="C265" s="3"/>
    </row>
    <row r="266">
      <c r="C266" s="3"/>
    </row>
    <row r="267">
      <c r="C267" s="3"/>
    </row>
    <row r="268">
      <c r="C268" s="3"/>
    </row>
    <row r="269">
      <c r="C269" s="3"/>
    </row>
    <row r="270">
      <c r="C270" s="3"/>
    </row>
    <row r="271">
      <c r="C271" s="3"/>
    </row>
    <row r="272">
      <c r="C272" s="3"/>
    </row>
    <row r="273">
      <c r="C273" s="3"/>
    </row>
    <row r="274">
      <c r="C274" s="3"/>
    </row>
    <row r="275">
      <c r="C275" s="3"/>
    </row>
    <row r="276">
      <c r="C276" s="3"/>
    </row>
    <row r="277">
      <c r="C277" s="3"/>
    </row>
    <row r="278">
      <c r="C278" s="3"/>
    </row>
    <row r="279">
      <c r="C279" s="3"/>
    </row>
    <row r="280">
      <c r="C280" s="3"/>
    </row>
    <row r="281">
      <c r="C281" s="3"/>
    </row>
    <row r="282">
      <c r="C282" s="3"/>
    </row>
    <row r="283">
      <c r="C283" s="3"/>
    </row>
    <row r="284">
      <c r="C284" s="3"/>
    </row>
    <row r="285">
      <c r="C285" s="3"/>
    </row>
    <row r="286">
      <c r="C286" s="3"/>
    </row>
    <row r="287">
      <c r="C287" s="3"/>
    </row>
    <row r="288">
      <c r="C288" s="3"/>
    </row>
    <row r="289">
      <c r="C289" s="3"/>
    </row>
    <row r="290">
      <c r="C290" s="3"/>
    </row>
    <row r="291">
      <c r="C291" s="3"/>
    </row>
    <row r="292">
      <c r="C292" s="3"/>
    </row>
    <row r="293">
      <c r="C293" s="3"/>
    </row>
    <row r="294">
      <c r="C294" s="3"/>
    </row>
    <row r="295">
      <c r="C295" s="3"/>
    </row>
    <row r="296">
      <c r="C296" s="3"/>
    </row>
    <row r="297">
      <c r="C297" s="3"/>
    </row>
    <row r="298">
      <c r="C298" s="3"/>
    </row>
    <row r="299">
      <c r="C299" s="3"/>
    </row>
    <row r="300">
      <c r="C300" s="3"/>
    </row>
    <row r="301">
      <c r="C301" s="3"/>
    </row>
    <row r="302">
      <c r="C302" s="3"/>
    </row>
    <row r="303">
      <c r="C303" s="3"/>
    </row>
    <row r="304">
      <c r="C304" s="3"/>
    </row>
    <row r="305">
      <c r="C305" s="3"/>
    </row>
    <row r="306">
      <c r="C306" s="3"/>
    </row>
    <row r="307">
      <c r="C307" s="3"/>
    </row>
    <row r="308">
      <c r="C308" s="3"/>
    </row>
    <row r="309">
      <c r="C309" s="3"/>
    </row>
    <row r="310">
      <c r="C310" s="3"/>
    </row>
    <row r="311">
      <c r="C311" s="3"/>
    </row>
    <row r="312">
      <c r="C312" s="3"/>
    </row>
    <row r="313">
      <c r="C313" s="3"/>
    </row>
    <row r="314">
      <c r="C314" s="3"/>
    </row>
    <row r="315">
      <c r="C315" s="3"/>
    </row>
    <row r="316">
      <c r="C316" s="3"/>
    </row>
    <row r="317">
      <c r="C317" s="3"/>
    </row>
    <row r="318">
      <c r="C318" s="3"/>
    </row>
    <row r="319">
      <c r="C319" s="3"/>
    </row>
    <row r="320">
      <c r="C320" s="3"/>
    </row>
    <row r="321">
      <c r="C321" s="3"/>
    </row>
    <row r="322">
      <c r="C322" s="3"/>
    </row>
    <row r="323">
      <c r="C323" s="3"/>
    </row>
    <row r="324">
      <c r="C324" s="3"/>
    </row>
    <row r="325">
      <c r="C325" s="3"/>
    </row>
    <row r="326">
      <c r="C326" s="3"/>
    </row>
    <row r="327">
      <c r="C327" s="3"/>
    </row>
    <row r="328">
      <c r="C328" s="3"/>
    </row>
    <row r="329">
      <c r="C329" s="3"/>
    </row>
    <row r="330">
      <c r="C330" s="3"/>
    </row>
    <row r="331">
      <c r="C331" s="3"/>
    </row>
    <row r="332">
      <c r="C332" s="3"/>
    </row>
    <row r="333">
      <c r="C333" s="3"/>
    </row>
    <row r="334">
      <c r="C334" s="3"/>
    </row>
    <row r="335">
      <c r="C335" s="3"/>
    </row>
    <row r="336">
      <c r="C336" s="3"/>
    </row>
    <row r="337">
      <c r="C337" s="3"/>
    </row>
    <row r="338">
      <c r="C338" s="3"/>
    </row>
    <row r="339">
      <c r="C339" s="3"/>
    </row>
    <row r="340">
      <c r="C340" s="3"/>
    </row>
    <row r="341">
      <c r="C341" s="3"/>
    </row>
    <row r="342">
      <c r="C342" s="3"/>
    </row>
    <row r="343">
      <c r="C343" s="3"/>
    </row>
    <row r="344">
      <c r="C344" s="3"/>
    </row>
    <row r="345">
      <c r="C345" s="3"/>
    </row>
    <row r="346">
      <c r="C346" s="3"/>
    </row>
    <row r="347">
      <c r="C347" s="3"/>
    </row>
    <row r="348">
      <c r="C348" s="3"/>
    </row>
    <row r="349">
      <c r="C349" s="3"/>
    </row>
    <row r="350">
      <c r="C350" s="3"/>
    </row>
    <row r="351">
      <c r="C351" s="3"/>
    </row>
    <row r="352">
      <c r="C352" s="3"/>
    </row>
    <row r="353">
      <c r="C353" s="3"/>
    </row>
    <row r="354">
      <c r="C354" s="3"/>
    </row>
    <row r="355">
      <c r="C355" s="3"/>
    </row>
    <row r="356">
      <c r="C356" s="3"/>
    </row>
    <row r="357">
      <c r="C357" s="3"/>
    </row>
    <row r="358">
      <c r="C358" s="3"/>
    </row>
    <row r="359">
      <c r="C359" s="3"/>
    </row>
    <row r="360">
      <c r="C360" s="3"/>
    </row>
    <row r="361">
      <c r="C361" s="3"/>
    </row>
    <row r="362">
      <c r="C362" s="3"/>
    </row>
    <row r="363">
      <c r="C363" s="3"/>
    </row>
    <row r="364">
      <c r="C364" s="3"/>
    </row>
    <row r="365">
      <c r="C365" s="3"/>
    </row>
    <row r="366">
      <c r="C366" s="3"/>
    </row>
    <row r="367">
      <c r="C367" s="3"/>
    </row>
    <row r="368">
      <c r="C368" s="3"/>
    </row>
    <row r="369">
      <c r="C369" s="3"/>
    </row>
    <row r="370">
      <c r="C370" s="3"/>
    </row>
    <row r="371">
      <c r="C371" s="3"/>
    </row>
    <row r="372">
      <c r="C372" s="3"/>
    </row>
    <row r="373">
      <c r="C373" s="3"/>
    </row>
    <row r="374">
      <c r="C374" s="3"/>
    </row>
    <row r="375">
      <c r="C375" s="3"/>
    </row>
    <row r="376">
      <c r="C376" s="3"/>
    </row>
    <row r="377">
      <c r="C377" s="3"/>
    </row>
    <row r="378">
      <c r="C378" s="3"/>
    </row>
    <row r="379">
      <c r="C379" s="3"/>
    </row>
    <row r="380">
      <c r="C380" s="3"/>
    </row>
    <row r="381">
      <c r="C381" s="3"/>
    </row>
    <row r="382">
      <c r="C382" s="3"/>
    </row>
    <row r="383">
      <c r="C383" s="3"/>
    </row>
    <row r="384">
      <c r="C384" s="3"/>
    </row>
    <row r="385">
      <c r="C385" s="3"/>
    </row>
    <row r="386">
      <c r="C386" s="3"/>
    </row>
    <row r="387">
      <c r="C387" s="3"/>
    </row>
    <row r="388">
      <c r="C388" s="3"/>
    </row>
    <row r="389">
      <c r="C389" s="3"/>
    </row>
    <row r="390">
      <c r="C390" s="3"/>
    </row>
    <row r="391">
      <c r="C391" s="3"/>
    </row>
    <row r="392">
      <c r="C392" s="3"/>
    </row>
    <row r="393">
      <c r="C393" s="3"/>
    </row>
    <row r="394">
      <c r="C394" s="3"/>
    </row>
    <row r="395">
      <c r="C395" s="3"/>
    </row>
    <row r="396">
      <c r="C396" s="3"/>
    </row>
    <row r="397">
      <c r="C397" s="3"/>
    </row>
    <row r="398">
      <c r="C398" s="3"/>
    </row>
    <row r="399">
      <c r="C399" s="3"/>
    </row>
    <row r="400">
      <c r="C400" s="3"/>
    </row>
    <row r="401">
      <c r="C401" s="3"/>
    </row>
    <row r="402">
      <c r="C402" s="3"/>
    </row>
    <row r="403">
      <c r="C403" s="3"/>
    </row>
    <row r="404">
      <c r="C404" s="3"/>
    </row>
    <row r="405">
      <c r="C405" s="3"/>
    </row>
    <row r="406">
      <c r="C406" s="3"/>
    </row>
    <row r="407">
      <c r="C407" s="3"/>
    </row>
    <row r="408">
      <c r="C408" s="3"/>
    </row>
    <row r="409">
      <c r="C409" s="3"/>
    </row>
    <row r="410">
      <c r="C410" s="3"/>
    </row>
    <row r="411">
      <c r="C411" s="3"/>
    </row>
    <row r="412">
      <c r="C412" s="3"/>
    </row>
    <row r="413">
      <c r="C413" s="3"/>
    </row>
    <row r="414">
      <c r="C414" s="3"/>
    </row>
    <row r="415">
      <c r="C415" s="3"/>
    </row>
    <row r="416">
      <c r="C416" s="3"/>
    </row>
    <row r="417">
      <c r="C417" s="3"/>
    </row>
    <row r="418">
      <c r="C418" s="3"/>
    </row>
    <row r="419">
      <c r="C419" s="3"/>
    </row>
    <row r="420">
      <c r="C420" s="3"/>
    </row>
    <row r="421">
      <c r="C421" s="3"/>
    </row>
    <row r="422">
      <c r="C422" s="3"/>
    </row>
    <row r="423">
      <c r="C423" s="3"/>
    </row>
    <row r="424">
      <c r="C424" s="3"/>
    </row>
    <row r="425">
      <c r="C425" s="3"/>
    </row>
    <row r="426">
      <c r="C426" s="3"/>
    </row>
    <row r="427">
      <c r="C427" s="3"/>
    </row>
    <row r="428">
      <c r="C428" s="3"/>
    </row>
    <row r="429">
      <c r="C429" s="3"/>
    </row>
    <row r="430">
      <c r="C430" s="3"/>
    </row>
    <row r="431">
      <c r="C431" s="3"/>
    </row>
    <row r="432">
      <c r="C432" s="3"/>
    </row>
    <row r="433">
      <c r="C433" s="3"/>
    </row>
    <row r="434">
      <c r="C434" s="3"/>
    </row>
    <row r="435">
      <c r="C435" s="3"/>
    </row>
    <row r="436">
      <c r="C436" s="3"/>
    </row>
    <row r="437">
      <c r="C437" s="3"/>
    </row>
    <row r="438">
      <c r="C438" s="3"/>
    </row>
    <row r="439">
      <c r="C439" s="3"/>
    </row>
    <row r="440">
      <c r="C440" s="3"/>
    </row>
    <row r="441">
      <c r="C441" s="3"/>
    </row>
    <row r="442">
      <c r="C442" s="3"/>
    </row>
    <row r="443">
      <c r="C443" s="3"/>
    </row>
    <row r="444">
      <c r="C444" s="3"/>
    </row>
    <row r="445">
      <c r="C445" s="3"/>
    </row>
    <row r="446">
      <c r="C446" s="3"/>
    </row>
    <row r="447">
      <c r="C447" s="3"/>
    </row>
    <row r="448">
      <c r="C448" s="3"/>
    </row>
    <row r="449">
      <c r="C449" s="3"/>
    </row>
    <row r="450">
      <c r="C450" s="3"/>
    </row>
    <row r="451">
      <c r="C451" s="3"/>
    </row>
    <row r="452">
      <c r="C452" s="3"/>
    </row>
    <row r="453">
      <c r="C453" s="3"/>
    </row>
    <row r="454">
      <c r="C454" s="3"/>
    </row>
    <row r="455">
      <c r="C455" s="3"/>
    </row>
    <row r="456">
      <c r="C456" s="3"/>
    </row>
    <row r="457">
      <c r="C457" s="3"/>
    </row>
    <row r="458">
      <c r="C458" s="3"/>
    </row>
    <row r="459">
      <c r="C459" s="3"/>
    </row>
    <row r="460">
      <c r="C460" s="3"/>
    </row>
    <row r="461">
      <c r="C461" s="3"/>
    </row>
    <row r="462">
      <c r="C462" s="3"/>
    </row>
    <row r="463">
      <c r="C463" s="3"/>
    </row>
    <row r="464">
      <c r="C464" s="3"/>
    </row>
    <row r="465">
      <c r="C465" s="3"/>
    </row>
    <row r="466">
      <c r="C466" s="3"/>
    </row>
    <row r="467">
      <c r="C467" s="3"/>
    </row>
    <row r="468">
      <c r="C468" s="3"/>
    </row>
    <row r="469">
      <c r="C469" s="3"/>
    </row>
    <row r="470">
      <c r="C470" s="3"/>
    </row>
    <row r="471">
      <c r="C471" s="3"/>
    </row>
    <row r="472">
      <c r="C472" s="3"/>
    </row>
    <row r="473">
      <c r="C473" s="3"/>
    </row>
    <row r="474">
      <c r="C474" s="3"/>
    </row>
    <row r="475">
      <c r="C475" s="3"/>
    </row>
    <row r="476">
      <c r="C476" s="3"/>
    </row>
    <row r="477">
      <c r="C477" s="3"/>
    </row>
    <row r="478">
      <c r="C478" s="3"/>
    </row>
    <row r="479">
      <c r="C479" s="3"/>
    </row>
    <row r="480">
      <c r="C480" s="3"/>
    </row>
    <row r="481">
      <c r="C481" s="3"/>
    </row>
    <row r="482">
      <c r="C482" s="3"/>
    </row>
    <row r="483">
      <c r="C483" s="3"/>
    </row>
    <row r="484">
      <c r="C484" s="3"/>
    </row>
    <row r="485">
      <c r="C485" s="3"/>
    </row>
    <row r="486">
      <c r="C486" s="3"/>
    </row>
    <row r="487">
      <c r="C487" s="3"/>
    </row>
    <row r="488">
      <c r="C488" s="3"/>
    </row>
    <row r="489">
      <c r="C489" s="3"/>
    </row>
    <row r="490">
      <c r="C490" s="3"/>
    </row>
    <row r="491">
      <c r="C491" s="3"/>
    </row>
    <row r="492">
      <c r="C492" s="3"/>
    </row>
    <row r="493">
      <c r="C493" s="3"/>
    </row>
    <row r="494">
      <c r="C494" s="3"/>
    </row>
    <row r="495">
      <c r="C495" s="3"/>
    </row>
    <row r="496">
      <c r="C496" s="3"/>
    </row>
    <row r="497">
      <c r="C497" s="3"/>
    </row>
    <row r="498">
      <c r="C498" s="3"/>
    </row>
    <row r="499">
      <c r="C499" s="3"/>
    </row>
    <row r="500">
      <c r="C500" s="3"/>
    </row>
    <row r="501">
      <c r="C501" s="3"/>
    </row>
    <row r="502">
      <c r="C502" s="3"/>
    </row>
    <row r="503">
      <c r="C503" s="3"/>
    </row>
    <row r="504">
      <c r="C504" s="3"/>
    </row>
    <row r="505">
      <c r="C505" s="3"/>
    </row>
    <row r="506">
      <c r="C506" s="3"/>
    </row>
    <row r="507">
      <c r="C507" s="3"/>
    </row>
    <row r="508">
      <c r="C508" s="3"/>
    </row>
    <row r="509">
      <c r="C509" s="3"/>
    </row>
    <row r="510">
      <c r="C510" s="3"/>
    </row>
    <row r="511">
      <c r="C511" s="3"/>
    </row>
    <row r="512">
      <c r="C512" s="3"/>
    </row>
    <row r="513">
      <c r="C513" s="3"/>
    </row>
    <row r="514">
      <c r="C514" s="3"/>
    </row>
    <row r="515">
      <c r="C515" s="3"/>
    </row>
    <row r="516">
      <c r="C516" s="3"/>
    </row>
    <row r="517">
      <c r="C517" s="3"/>
    </row>
    <row r="518">
      <c r="C518" s="3"/>
    </row>
    <row r="519">
      <c r="C519" s="3"/>
    </row>
    <row r="520">
      <c r="C520" s="3"/>
    </row>
    <row r="521">
      <c r="C521" s="3"/>
    </row>
    <row r="522">
      <c r="C522" s="3"/>
    </row>
    <row r="523">
      <c r="C523" s="3"/>
    </row>
    <row r="524">
      <c r="C524" s="3"/>
    </row>
    <row r="525">
      <c r="C525" s="3"/>
    </row>
    <row r="526">
      <c r="C526" s="3"/>
    </row>
    <row r="527">
      <c r="C527" s="3"/>
    </row>
    <row r="528">
      <c r="C528" s="3"/>
    </row>
    <row r="529">
      <c r="C529" s="3"/>
    </row>
    <row r="530">
      <c r="C530" s="3"/>
    </row>
    <row r="531">
      <c r="C531" s="3"/>
    </row>
    <row r="532">
      <c r="C532" s="3"/>
    </row>
    <row r="533">
      <c r="C533" s="3"/>
    </row>
    <row r="534">
      <c r="C534" s="3"/>
    </row>
    <row r="535">
      <c r="C535" s="3"/>
    </row>
    <row r="536">
      <c r="C536" s="3"/>
    </row>
    <row r="537">
      <c r="C537" s="3"/>
    </row>
    <row r="538">
      <c r="C538" s="3"/>
    </row>
    <row r="539">
      <c r="C539" s="3"/>
    </row>
    <row r="540">
      <c r="C540" s="3"/>
    </row>
    <row r="541">
      <c r="C541" s="3"/>
    </row>
    <row r="542">
      <c r="C542" s="3"/>
    </row>
    <row r="543">
      <c r="C543" s="3"/>
    </row>
    <row r="544">
      <c r="C544" s="3"/>
    </row>
    <row r="545">
      <c r="C545" s="3"/>
    </row>
    <row r="546">
      <c r="C546" s="3"/>
    </row>
    <row r="547">
      <c r="C547" s="3"/>
    </row>
    <row r="548">
      <c r="C548" s="3"/>
    </row>
    <row r="549">
      <c r="C549" s="3"/>
    </row>
    <row r="550">
      <c r="C550" s="3"/>
    </row>
    <row r="551">
      <c r="C551" s="3"/>
    </row>
    <row r="552">
      <c r="C552" s="3"/>
    </row>
    <row r="553">
      <c r="C553" s="3"/>
    </row>
    <row r="554">
      <c r="C554" s="3"/>
    </row>
    <row r="555">
      <c r="C555" s="3"/>
    </row>
    <row r="556">
      <c r="C556" s="3"/>
    </row>
    <row r="557">
      <c r="C557" s="3"/>
    </row>
    <row r="558">
      <c r="C558" s="3"/>
    </row>
    <row r="559">
      <c r="C559" s="3"/>
    </row>
    <row r="560">
      <c r="C560" s="3"/>
    </row>
    <row r="561">
      <c r="C561" s="3"/>
    </row>
    <row r="562">
      <c r="C562" s="3"/>
    </row>
    <row r="563">
      <c r="C563" s="3"/>
    </row>
    <row r="564">
      <c r="C564" s="3"/>
    </row>
    <row r="565">
      <c r="C565" s="3"/>
    </row>
    <row r="566">
      <c r="C566" s="3"/>
    </row>
    <row r="567">
      <c r="C567" s="3"/>
    </row>
    <row r="568">
      <c r="C568" s="3"/>
    </row>
    <row r="569">
      <c r="C569" s="3"/>
    </row>
    <row r="570">
      <c r="C570" s="3"/>
    </row>
    <row r="571">
      <c r="C571" s="3"/>
    </row>
    <row r="572">
      <c r="C572" s="3"/>
    </row>
    <row r="573">
      <c r="C573" s="3"/>
    </row>
    <row r="574">
      <c r="C574" s="3"/>
    </row>
    <row r="575">
      <c r="C575" s="3"/>
    </row>
    <row r="576">
      <c r="C576" s="3"/>
    </row>
    <row r="577">
      <c r="C577" s="3"/>
    </row>
    <row r="578">
      <c r="C578" s="3"/>
    </row>
    <row r="579">
      <c r="C579" s="3"/>
    </row>
    <row r="580">
      <c r="C580" s="3"/>
    </row>
    <row r="581">
      <c r="C581" s="3"/>
    </row>
    <row r="582">
      <c r="C582" s="3"/>
    </row>
    <row r="583">
      <c r="C583" s="3"/>
    </row>
    <row r="584">
      <c r="C584" s="3"/>
    </row>
    <row r="585">
      <c r="C585" s="3"/>
    </row>
    <row r="586">
      <c r="C586" s="3"/>
    </row>
    <row r="587">
      <c r="C587" s="3"/>
    </row>
    <row r="588">
      <c r="C588" s="3"/>
    </row>
    <row r="589">
      <c r="C589" s="3"/>
    </row>
    <row r="590">
      <c r="C590" s="3"/>
    </row>
    <row r="591">
      <c r="C591" s="3"/>
    </row>
    <row r="592">
      <c r="C592" s="3"/>
    </row>
    <row r="593">
      <c r="C593" s="3"/>
    </row>
    <row r="594">
      <c r="C594" s="3"/>
    </row>
    <row r="595">
      <c r="C595" s="3"/>
    </row>
    <row r="596">
      <c r="C596" s="3"/>
    </row>
    <row r="597">
      <c r="C597" s="3"/>
    </row>
    <row r="598">
      <c r="C598" s="3"/>
    </row>
    <row r="599">
      <c r="C599" s="3"/>
    </row>
    <row r="600">
      <c r="C600" s="3"/>
    </row>
    <row r="601">
      <c r="C601" s="3"/>
    </row>
    <row r="602">
      <c r="C602" s="3"/>
    </row>
    <row r="603">
      <c r="C603" s="3"/>
    </row>
    <row r="604">
      <c r="C604" s="3"/>
    </row>
    <row r="605">
      <c r="C605" s="3"/>
    </row>
    <row r="606">
      <c r="C606" s="3"/>
    </row>
    <row r="607">
      <c r="C607" s="3"/>
    </row>
    <row r="608">
      <c r="C608" s="3"/>
    </row>
    <row r="609">
      <c r="C609" s="3"/>
    </row>
    <row r="610">
      <c r="C610" s="3"/>
    </row>
    <row r="611">
      <c r="C611" s="3"/>
    </row>
    <row r="612">
      <c r="C612" s="3"/>
    </row>
    <row r="613">
      <c r="C613" s="3"/>
    </row>
    <row r="614">
      <c r="C614" s="3"/>
    </row>
    <row r="615">
      <c r="C615" s="3"/>
    </row>
    <row r="616">
      <c r="C616" s="3"/>
    </row>
    <row r="617">
      <c r="C617" s="3"/>
    </row>
    <row r="618">
      <c r="C618" s="3"/>
    </row>
    <row r="619">
      <c r="C619" s="3"/>
    </row>
    <row r="620">
      <c r="C620" s="3"/>
    </row>
    <row r="621">
      <c r="C621" s="3"/>
    </row>
    <row r="622">
      <c r="C622" s="3"/>
    </row>
    <row r="623">
      <c r="C623" s="3"/>
    </row>
    <row r="624">
      <c r="C624" s="3"/>
    </row>
    <row r="625">
      <c r="C625" s="3"/>
    </row>
    <row r="626">
      <c r="C626" s="3"/>
    </row>
    <row r="627">
      <c r="C627" s="3"/>
    </row>
    <row r="628">
      <c r="C628" s="3"/>
    </row>
    <row r="629">
      <c r="C629" s="3"/>
    </row>
    <row r="630">
      <c r="C630" s="3"/>
    </row>
    <row r="631">
      <c r="C631" s="3"/>
    </row>
    <row r="632">
      <c r="C632" s="3"/>
    </row>
    <row r="633">
      <c r="C633" s="3"/>
    </row>
    <row r="634">
      <c r="C634" s="3"/>
    </row>
    <row r="635">
      <c r="C635" s="3"/>
    </row>
    <row r="636">
      <c r="C636" s="3"/>
    </row>
    <row r="637">
      <c r="C637" s="3"/>
    </row>
    <row r="638">
      <c r="C638" s="3"/>
    </row>
    <row r="639">
      <c r="C639" s="3"/>
    </row>
    <row r="640">
      <c r="C640" s="3"/>
    </row>
    <row r="641">
      <c r="C641" s="3"/>
    </row>
    <row r="642">
      <c r="C642" s="3"/>
    </row>
    <row r="643">
      <c r="C643" s="3"/>
    </row>
    <row r="644">
      <c r="C644" s="3"/>
    </row>
    <row r="645">
      <c r="C645" s="3"/>
    </row>
    <row r="646">
      <c r="C646" s="3"/>
    </row>
    <row r="647">
      <c r="C647" s="3"/>
    </row>
    <row r="648">
      <c r="C648" s="3"/>
    </row>
    <row r="649">
      <c r="C649" s="3"/>
    </row>
    <row r="650">
      <c r="C650" s="3"/>
    </row>
    <row r="651">
      <c r="C651" s="3"/>
    </row>
    <row r="652">
      <c r="C652" s="3"/>
    </row>
    <row r="653">
      <c r="C653" s="3"/>
    </row>
    <row r="654">
      <c r="C654" s="3"/>
    </row>
    <row r="655">
      <c r="C655" s="3"/>
    </row>
    <row r="656">
      <c r="C656" s="3"/>
    </row>
    <row r="657">
      <c r="C657" s="3"/>
    </row>
    <row r="658">
      <c r="C658" s="3"/>
    </row>
    <row r="659">
      <c r="C659" s="3"/>
    </row>
    <row r="660">
      <c r="C660" s="3"/>
    </row>
    <row r="661">
      <c r="C661" s="3"/>
    </row>
    <row r="662">
      <c r="C662" s="3"/>
    </row>
    <row r="663">
      <c r="C663" s="3"/>
    </row>
    <row r="664">
      <c r="C664" s="3"/>
    </row>
    <row r="665">
      <c r="C665" s="3"/>
    </row>
    <row r="666">
      <c r="C666" s="3"/>
    </row>
    <row r="667">
      <c r="C667" s="3"/>
    </row>
    <row r="668">
      <c r="C668" s="3"/>
    </row>
    <row r="669">
      <c r="C669" s="3"/>
    </row>
    <row r="670">
      <c r="C670" s="3"/>
    </row>
    <row r="671">
      <c r="C671" s="3"/>
    </row>
    <row r="672">
      <c r="C672" s="3"/>
    </row>
    <row r="673">
      <c r="C673" s="3"/>
    </row>
    <row r="674">
      <c r="C674" s="3"/>
    </row>
    <row r="675">
      <c r="C675" s="3"/>
    </row>
    <row r="676">
      <c r="C676" s="3"/>
    </row>
    <row r="677">
      <c r="C677" s="3"/>
    </row>
    <row r="678">
      <c r="C678" s="3"/>
    </row>
    <row r="679">
      <c r="C679" s="3"/>
    </row>
    <row r="680">
      <c r="C680" s="3"/>
    </row>
    <row r="681">
      <c r="C681" s="3"/>
    </row>
    <row r="682">
      <c r="C682" s="3"/>
    </row>
    <row r="683">
      <c r="C683" s="3"/>
    </row>
    <row r="684">
      <c r="C684" s="3"/>
    </row>
    <row r="685">
      <c r="C685" s="3"/>
    </row>
    <row r="686">
      <c r="C686" s="3"/>
    </row>
    <row r="687">
      <c r="C687" s="3"/>
    </row>
    <row r="688">
      <c r="C688" s="3"/>
    </row>
    <row r="689">
      <c r="C689" s="3"/>
    </row>
    <row r="690">
      <c r="C690" s="3"/>
    </row>
    <row r="691">
      <c r="C691" s="3"/>
    </row>
    <row r="692">
      <c r="C692" s="3"/>
    </row>
    <row r="693">
      <c r="C693" s="3"/>
    </row>
    <row r="694">
      <c r="C694" s="3"/>
    </row>
    <row r="695">
      <c r="C695" s="3"/>
    </row>
    <row r="696">
      <c r="C696" s="3"/>
    </row>
    <row r="697">
      <c r="C697" s="3"/>
    </row>
    <row r="698">
      <c r="C698" s="3"/>
    </row>
    <row r="699">
      <c r="C699" s="3"/>
    </row>
    <row r="700">
      <c r="C700" s="3"/>
    </row>
    <row r="701">
      <c r="C701" s="3"/>
    </row>
    <row r="702">
      <c r="C702" s="3"/>
    </row>
    <row r="703">
      <c r="C703" s="3"/>
    </row>
    <row r="704">
      <c r="C704" s="3"/>
    </row>
    <row r="705">
      <c r="C705" s="3"/>
    </row>
    <row r="706">
      <c r="C706" s="3"/>
    </row>
    <row r="707">
      <c r="C707" s="3"/>
    </row>
    <row r="708">
      <c r="C708" s="3"/>
    </row>
    <row r="709">
      <c r="C709" s="3"/>
    </row>
    <row r="710">
      <c r="C710" s="3"/>
    </row>
    <row r="711">
      <c r="C711" s="3"/>
    </row>
    <row r="712">
      <c r="C712" s="3"/>
    </row>
    <row r="713">
      <c r="C713" s="3"/>
    </row>
    <row r="714">
      <c r="C714" s="3"/>
    </row>
    <row r="715">
      <c r="C715" s="3"/>
    </row>
    <row r="716">
      <c r="C716" s="3"/>
    </row>
    <row r="717">
      <c r="C717" s="3"/>
    </row>
    <row r="718">
      <c r="C718" s="3"/>
    </row>
    <row r="719">
      <c r="C719" s="3"/>
    </row>
    <row r="720">
      <c r="C720" s="3"/>
    </row>
    <row r="721">
      <c r="C721" s="3"/>
    </row>
    <row r="722">
      <c r="C722" s="3"/>
    </row>
    <row r="723">
      <c r="C723" s="3"/>
    </row>
    <row r="724">
      <c r="C724" s="3"/>
    </row>
    <row r="725">
      <c r="C725" s="3"/>
    </row>
    <row r="726">
      <c r="C726" s="3"/>
    </row>
    <row r="727">
      <c r="C727" s="3"/>
    </row>
    <row r="728">
      <c r="C728" s="3"/>
    </row>
    <row r="729">
      <c r="C729" s="3"/>
    </row>
    <row r="730">
      <c r="C730" s="3"/>
    </row>
    <row r="731">
      <c r="C731" s="3"/>
    </row>
    <row r="732">
      <c r="C732" s="3"/>
    </row>
    <row r="733">
      <c r="C733" s="3"/>
    </row>
    <row r="734">
      <c r="C734" s="3"/>
    </row>
    <row r="735">
      <c r="C735" s="3"/>
    </row>
    <row r="736">
      <c r="C736" s="3"/>
    </row>
    <row r="737">
      <c r="C737" s="3"/>
    </row>
    <row r="738">
      <c r="C738" s="3"/>
    </row>
    <row r="739">
      <c r="C739" s="3"/>
    </row>
    <row r="740">
      <c r="C740" s="3"/>
    </row>
    <row r="741">
      <c r="C741" s="3"/>
    </row>
    <row r="742">
      <c r="C742" s="3"/>
    </row>
    <row r="743">
      <c r="C743" s="3"/>
    </row>
    <row r="744">
      <c r="C744" s="3"/>
    </row>
    <row r="745">
      <c r="C745" s="3"/>
    </row>
    <row r="746">
      <c r="C746" s="3"/>
    </row>
    <row r="747">
      <c r="C747" s="3"/>
    </row>
    <row r="748">
      <c r="C748" s="3"/>
    </row>
    <row r="749">
      <c r="C749" s="3"/>
    </row>
    <row r="750">
      <c r="C750" s="3"/>
    </row>
    <row r="751">
      <c r="C751" s="3"/>
    </row>
    <row r="752">
      <c r="C752" s="3"/>
    </row>
    <row r="753">
      <c r="C753" s="3"/>
    </row>
    <row r="754">
      <c r="C754" s="3"/>
    </row>
    <row r="755">
      <c r="C755" s="3"/>
    </row>
    <row r="756">
      <c r="C756" s="3"/>
    </row>
    <row r="757">
      <c r="C757" s="3"/>
    </row>
    <row r="758">
      <c r="C758" s="3"/>
    </row>
    <row r="759">
      <c r="C759" s="3"/>
    </row>
    <row r="760">
      <c r="C760" s="3"/>
    </row>
    <row r="761">
      <c r="C761" s="3"/>
    </row>
    <row r="762">
      <c r="C762" s="3"/>
    </row>
    <row r="763">
      <c r="C763" s="3"/>
    </row>
    <row r="764">
      <c r="C764" s="3"/>
    </row>
    <row r="765">
      <c r="C765" s="3"/>
    </row>
    <row r="766">
      <c r="C766" s="3"/>
    </row>
    <row r="767">
      <c r="C767" s="3"/>
    </row>
    <row r="768">
      <c r="C768" s="3"/>
    </row>
    <row r="769">
      <c r="C769" s="3"/>
    </row>
    <row r="770">
      <c r="C770" s="3"/>
    </row>
    <row r="771">
      <c r="C771" s="3"/>
    </row>
    <row r="772">
      <c r="C772" s="3"/>
    </row>
    <row r="773">
      <c r="C773" s="3"/>
    </row>
    <row r="774">
      <c r="C774" s="3"/>
    </row>
    <row r="775">
      <c r="C775" s="3"/>
    </row>
    <row r="776">
      <c r="C776" s="3"/>
    </row>
    <row r="777">
      <c r="C777" s="3"/>
    </row>
    <row r="778">
      <c r="C778" s="3"/>
    </row>
    <row r="779">
      <c r="C779" s="3"/>
    </row>
    <row r="780">
      <c r="C780" s="3"/>
    </row>
    <row r="781">
      <c r="C781" s="3"/>
    </row>
    <row r="782">
      <c r="C782" s="3"/>
    </row>
    <row r="783">
      <c r="C783" s="3"/>
    </row>
    <row r="784">
      <c r="C784" s="3"/>
    </row>
    <row r="785">
      <c r="C785" s="3"/>
    </row>
    <row r="786">
      <c r="C786" s="3"/>
    </row>
    <row r="787">
      <c r="C787" s="3"/>
    </row>
    <row r="788">
      <c r="C788" s="3"/>
    </row>
    <row r="789">
      <c r="C789" s="3"/>
    </row>
    <row r="790">
      <c r="C790" s="3"/>
    </row>
    <row r="791">
      <c r="C791" s="3"/>
    </row>
    <row r="792">
      <c r="C792" s="3"/>
    </row>
    <row r="793">
      <c r="C793" s="3"/>
    </row>
    <row r="794">
      <c r="C794" s="3"/>
    </row>
    <row r="795">
      <c r="C795" s="3"/>
    </row>
    <row r="796">
      <c r="C796" s="3"/>
    </row>
    <row r="797">
      <c r="C797" s="3"/>
    </row>
    <row r="798">
      <c r="C798" s="3"/>
    </row>
    <row r="799">
      <c r="C799" s="3"/>
    </row>
    <row r="800">
      <c r="C800" s="3"/>
    </row>
    <row r="801">
      <c r="C801" s="3"/>
    </row>
    <row r="802">
      <c r="C802" s="3"/>
    </row>
    <row r="803">
      <c r="C803" s="3"/>
    </row>
    <row r="804">
      <c r="C804" s="3"/>
    </row>
    <row r="805">
      <c r="C805" s="3"/>
    </row>
    <row r="806">
      <c r="C806" s="3"/>
    </row>
    <row r="807">
      <c r="C807" s="3"/>
    </row>
    <row r="808">
      <c r="C808" s="3"/>
    </row>
    <row r="809">
      <c r="C809" s="3"/>
    </row>
    <row r="810">
      <c r="C810" s="3"/>
    </row>
    <row r="811">
      <c r="C811" s="3"/>
    </row>
    <row r="812">
      <c r="C812" s="3"/>
    </row>
    <row r="813">
      <c r="C813" s="3"/>
    </row>
    <row r="814">
      <c r="C814" s="3"/>
    </row>
    <row r="815">
      <c r="C815" s="3"/>
    </row>
    <row r="816">
      <c r="C816" s="3"/>
    </row>
    <row r="817">
      <c r="C817" s="3"/>
    </row>
    <row r="818">
      <c r="C818" s="3"/>
    </row>
    <row r="819">
      <c r="C819" s="3"/>
    </row>
    <row r="820">
      <c r="C820" s="3"/>
    </row>
    <row r="821">
      <c r="C821" s="3"/>
    </row>
    <row r="822">
      <c r="C822" s="3"/>
    </row>
    <row r="823">
      <c r="C823" s="3"/>
    </row>
    <row r="824">
      <c r="C824" s="3"/>
    </row>
    <row r="825">
      <c r="C825" s="3"/>
    </row>
    <row r="826">
      <c r="C826" s="3"/>
    </row>
    <row r="827">
      <c r="C827" s="3"/>
    </row>
    <row r="828">
      <c r="C828" s="3"/>
    </row>
    <row r="829">
      <c r="C829" s="3"/>
    </row>
    <row r="830">
      <c r="C830" s="3"/>
    </row>
    <row r="831">
      <c r="C831" s="3"/>
    </row>
    <row r="832">
      <c r="C832" s="3"/>
    </row>
    <row r="833">
      <c r="C833" s="3"/>
    </row>
    <row r="834">
      <c r="C834" s="3"/>
    </row>
    <row r="835">
      <c r="C835" s="3"/>
    </row>
    <row r="836">
      <c r="C836" s="3"/>
    </row>
    <row r="837">
      <c r="C837" s="3"/>
    </row>
    <row r="838">
      <c r="C838" s="3"/>
    </row>
    <row r="839">
      <c r="C839" s="3"/>
    </row>
    <row r="840">
      <c r="C840" s="3"/>
    </row>
    <row r="841">
      <c r="C841" s="3"/>
    </row>
    <row r="842">
      <c r="C842" s="3"/>
    </row>
    <row r="843">
      <c r="C843" s="3"/>
    </row>
    <row r="844">
      <c r="C844" s="3"/>
    </row>
    <row r="845">
      <c r="C845" s="3"/>
    </row>
    <row r="846">
      <c r="C846" s="3"/>
    </row>
    <row r="847">
      <c r="C847" s="3"/>
    </row>
    <row r="848">
      <c r="C848" s="3"/>
    </row>
    <row r="849">
      <c r="C849" s="3"/>
    </row>
    <row r="850">
      <c r="C850" s="3"/>
    </row>
    <row r="851">
      <c r="C851" s="3"/>
    </row>
    <row r="852">
      <c r="C852" s="3"/>
    </row>
    <row r="853">
      <c r="C853" s="3"/>
    </row>
    <row r="854">
      <c r="C854" s="3"/>
    </row>
    <row r="855">
      <c r="C855" s="3"/>
    </row>
    <row r="856">
      <c r="C856" s="3"/>
    </row>
    <row r="857">
      <c r="C857" s="3"/>
    </row>
    <row r="858">
      <c r="C858" s="3"/>
    </row>
    <row r="859">
      <c r="C859" s="3"/>
    </row>
    <row r="860">
      <c r="C860" s="3"/>
    </row>
    <row r="861">
      <c r="C861" s="3"/>
    </row>
    <row r="862">
      <c r="C862" s="3"/>
    </row>
    <row r="863">
      <c r="C863" s="3"/>
    </row>
    <row r="864">
      <c r="C864" s="3"/>
    </row>
    <row r="865">
      <c r="C865" s="3"/>
    </row>
    <row r="866">
      <c r="C866" s="3"/>
    </row>
    <row r="867">
      <c r="C867" s="3"/>
    </row>
    <row r="868">
      <c r="C868" s="3"/>
    </row>
    <row r="869">
      <c r="C869" s="3"/>
    </row>
    <row r="870">
      <c r="C870" s="3"/>
    </row>
    <row r="871">
      <c r="C871" s="3"/>
    </row>
    <row r="872">
      <c r="C872" s="3"/>
    </row>
    <row r="873">
      <c r="C873" s="3"/>
    </row>
    <row r="874">
      <c r="C874" s="3"/>
    </row>
    <row r="875">
      <c r="C875" s="3"/>
    </row>
    <row r="876">
      <c r="C876" s="3"/>
    </row>
    <row r="877">
      <c r="C877" s="3"/>
    </row>
    <row r="878">
      <c r="C878" s="3"/>
    </row>
    <row r="879">
      <c r="C879" s="3"/>
    </row>
    <row r="880">
      <c r="C880" s="3"/>
    </row>
    <row r="881">
      <c r="C881" s="3"/>
    </row>
    <row r="882">
      <c r="C882" s="3"/>
    </row>
    <row r="883">
      <c r="C883" s="3"/>
    </row>
    <row r="884">
      <c r="C884" s="3"/>
    </row>
    <row r="885">
      <c r="C885" s="3"/>
    </row>
    <row r="886">
      <c r="C886" s="3"/>
    </row>
    <row r="887">
      <c r="C887" s="3"/>
    </row>
    <row r="888">
      <c r="C888" s="3"/>
    </row>
    <row r="889">
      <c r="C889" s="3"/>
    </row>
    <row r="890">
      <c r="C890" s="3"/>
    </row>
    <row r="891">
      <c r="C891" s="3"/>
    </row>
    <row r="892">
      <c r="C892" s="3"/>
    </row>
    <row r="893">
      <c r="C893" s="3"/>
    </row>
    <row r="894">
      <c r="C894" s="3"/>
    </row>
    <row r="895">
      <c r="C895" s="3"/>
    </row>
    <row r="896">
      <c r="C896" s="3"/>
    </row>
    <row r="897">
      <c r="C897" s="3"/>
    </row>
    <row r="898">
      <c r="C898" s="3"/>
    </row>
    <row r="899">
      <c r="C899" s="3"/>
    </row>
    <row r="900">
      <c r="C900" s="3"/>
    </row>
    <row r="901">
      <c r="C901" s="3"/>
    </row>
    <row r="902">
      <c r="C902" s="3"/>
    </row>
    <row r="903">
      <c r="C903" s="3"/>
    </row>
    <row r="904">
      <c r="C904" s="3"/>
    </row>
    <row r="905">
      <c r="C905" s="3"/>
    </row>
    <row r="906">
      <c r="C906" s="3"/>
    </row>
    <row r="907">
      <c r="C907" s="3"/>
    </row>
    <row r="908">
      <c r="C908" s="3"/>
    </row>
    <row r="909">
      <c r="C909" s="3"/>
    </row>
    <row r="910">
      <c r="C910" s="3"/>
    </row>
    <row r="911">
      <c r="C911" s="3"/>
    </row>
    <row r="912">
      <c r="C912" s="3"/>
    </row>
    <row r="913">
      <c r="C913" s="3"/>
    </row>
    <row r="914">
      <c r="C914" s="3"/>
    </row>
    <row r="915">
      <c r="C915" s="3"/>
    </row>
    <row r="916">
      <c r="C916" s="3"/>
    </row>
    <row r="917">
      <c r="C917" s="3"/>
    </row>
    <row r="918">
      <c r="C918" s="3"/>
    </row>
    <row r="919">
      <c r="C919" s="3"/>
    </row>
    <row r="920">
      <c r="C920" s="3"/>
    </row>
    <row r="921">
      <c r="C921" s="3"/>
    </row>
    <row r="922">
      <c r="C922" s="3"/>
    </row>
    <row r="923">
      <c r="C923" s="3"/>
    </row>
    <row r="924">
      <c r="C924" s="3"/>
    </row>
    <row r="925">
      <c r="C925" s="3"/>
    </row>
    <row r="926">
      <c r="C926" s="3"/>
    </row>
    <row r="927">
      <c r="C927" s="3"/>
    </row>
    <row r="928">
      <c r="C928" s="3"/>
    </row>
    <row r="929">
      <c r="C929" s="3"/>
    </row>
    <row r="930">
      <c r="C930" s="3"/>
    </row>
    <row r="931">
      <c r="C931" s="3"/>
    </row>
    <row r="932">
      <c r="C932" s="3"/>
    </row>
    <row r="933">
      <c r="C933" s="3"/>
    </row>
    <row r="934">
      <c r="C934" s="3"/>
    </row>
    <row r="935">
      <c r="C935" s="3"/>
    </row>
    <row r="936">
      <c r="C936" s="3"/>
    </row>
    <row r="937">
      <c r="C937" s="3"/>
    </row>
    <row r="938">
      <c r="C938" s="3"/>
    </row>
    <row r="939">
      <c r="C939" s="3"/>
    </row>
    <row r="940">
      <c r="C940" s="3"/>
    </row>
    <row r="941">
      <c r="C941" s="3"/>
    </row>
    <row r="942">
      <c r="C942" s="3"/>
    </row>
    <row r="943">
      <c r="C943" s="3"/>
    </row>
    <row r="944">
      <c r="C944" s="3"/>
    </row>
    <row r="945">
      <c r="C945" s="3"/>
    </row>
    <row r="946">
      <c r="C946" s="3"/>
    </row>
    <row r="947">
      <c r="C947" s="3"/>
    </row>
    <row r="948">
      <c r="C948" s="3"/>
    </row>
    <row r="949">
      <c r="C949" s="3"/>
    </row>
    <row r="950">
      <c r="C950" s="3"/>
    </row>
    <row r="951">
      <c r="C951" s="3"/>
    </row>
    <row r="952">
      <c r="C952" s="3"/>
    </row>
    <row r="953">
      <c r="C953" s="3"/>
    </row>
    <row r="954">
      <c r="C954" s="3"/>
    </row>
    <row r="955">
      <c r="C955" s="3"/>
    </row>
    <row r="956">
      <c r="C956" s="3"/>
    </row>
    <row r="957">
      <c r="C957" s="3"/>
    </row>
    <row r="958">
      <c r="C958" s="3"/>
    </row>
    <row r="959">
      <c r="C959" s="3"/>
    </row>
    <row r="960">
      <c r="C960" s="3"/>
    </row>
    <row r="961">
      <c r="C961" s="3"/>
    </row>
    <row r="962">
      <c r="C962" s="3"/>
    </row>
    <row r="963">
      <c r="C963" s="3"/>
    </row>
    <row r="964">
      <c r="C964" s="3"/>
    </row>
    <row r="965">
      <c r="C965" s="3"/>
    </row>
    <row r="966">
      <c r="C966" s="3"/>
    </row>
    <row r="967">
      <c r="C967" s="3"/>
    </row>
    <row r="968">
      <c r="C968" s="3"/>
    </row>
    <row r="969">
      <c r="C969" s="3"/>
    </row>
    <row r="970">
      <c r="C970" s="3"/>
    </row>
    <row r="971">
      <c r="C971" s="3"/>
    </row>
    <row r="972">
      <c r="C972" s="3"/>
    </row>
    <row r="973">
      <c r="C973" s="3"/>
    </row>
    <row r="974">
      <c r="C974" s="3"/>
    </row>
    <row r="975">
      <c r="C975" s="3"/>
    </row>
    <row r="976">
      <c r="C976" s="3"/>
    </row>
    <row r="977">
      <c r="C977" s="3"/>
    </row>
    <row r="978">
      <c r="C978" s="3"/>
    </row>
    <row r="979">
      <c r="C979" s="3"/>
    </row>
    <row r="980">
      <c r="C980" s="3"/>
    </row>
    <row r="981">
      <c r="C981" s="3"/>
    </row>
    <row r="982">
      <c r="C982" s="3"/>
    </row>
    <row r="983">
      <c r="C983" s="3"/>
    </row>
    <row r="984">
      <c r="C984" s="3"/>
    </row>
    <row r="985">
      <c r="C985" s="3"/>
    </row>
    <row r="986">
      <c r="C986" s="3"/>
    </row>
    <row r="987">
      <c r="C987" s="3"/>
    </row>
    <row r="988">
      <c r="C988" s="3"/>
    </row>
    <row r="989">
      <c r="C989" s="3"/>
    </row>
    <row r="990">
      <c r="C990" s="3"/>
    </row>
    <row r="991">
      <c r="C991" s="3"/>
    </row>
    <row r="992">
      <c r="C992" s="3"/>
    </row>
    <row r="993">
      <c r="C993" s="3"/>
    </row>
    <row r="994">
      <c r="C994" s="3"/>
    </row>
    <row r="995">
      <c r="C995" s="3"/>
    </row>
    <row r="996">
      <c r="C996" s="3"/>
    </row>
    <row r="997">
      <c r="C997" s="3"/>
    </row>
    <row r="998">
      <c r="C998" s="3"/>
    </row>
    <row r="999">
      <c r="C999" s="3"/>
    </row>
    <row r="1000">
      <c r="C1000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9</v>
      </c>
      <c r="B1" s="5">
        <f>(0.18*B2)+(2.73*B3)+1.23*(B4+B5+B6)</f>
        <v>33859893.15</v>
      </c>
      <c r="C1" s="6"/>
      <c r="D1" s="6" t="s">
        <v>10</v>
      </c>
      <c r="E1" s="7" t="s">
        <v>11</v>
      </c>
      <c r="F1" s="6"/>
      <c r="G1" s="6" t="s">
        <v>12</v>
      </c>
      <c r="H1" s="6"/>
      <c r="I1" s="6"/>
      <c r="J1" s="6" t="s">
        <v>13</v>
      </c>
      <c r="K1" s="6"/>
      <c r="L1" s="6" t="s">
        <v>14</v>
      </c>
      <c r="M1" s="6"/>
      <c r="N1" s="6" t="s">
        <v>15</v>
      </c>
      <c r="O1" s="6"/>
      <c r="P1" s="6"/>
      <c r="Q1" s="8" t="s">
        <v>16</v>
      </c>
      <c r="R1" s="8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</row>
    <row r="2">
      <c r="A2" s="6" t="s">
        <v>15</v>
      </c>
      <c r="B2" s="9">
        <f>O8</f>
        <v>9437763.475</v>
      </c>
      <c r="C2" s="6"/>
      <c r="D2" s="6" t="s">
        <v>23</v>
      </c>
      <c r="E2" s="10">
        <f>(6.29+0.23*8)^0.5</f>
        <v>2.851315486</v>
      </c>
      <c r="F2" s="6" t="s">
        <v>24</v>
      </c>
      <c r="G2" s="6" t="s">
        <v>25</v>
      </c>
      <c r="H2" s="6"/>
      <c r="I2" s="6"/>
      <c r="J2" s="11">
        <v>9236957.374258613</v>
      </c>
      <c r="K2" s="6"/>
      <c r="L2" s="6" t="s">
        <v>26</v>
      </c>
      <c r="M2" s="6"/>
      <c r="N2" s="6" t="s">
        <v>27</v>
      </c>
      <c r="O2" s="12">
        <v>2511697.5</v>
      </c>
      <c r="P2" s="6"/>
      <c r="Q2" s="8" t="s">
        <v>28</v>
      </c>
      <c r="R2" s="13">
        <f>653.8*6.3*24*333</f>
        <v>32918568.48</v>
      </c>
      <c r="T2" s="1" t="s">
        <v>29</v>
      </c>
      <c r="U2" s="1" t="s">
        <v>30</v>
      </c>
      <c r="V2" s="14">
        <v>55000.0</v>
      </c>
      <c r="W2" s="1">
        <v>2.0</v>
      </c>
      <c r="X2" s="15">
        <f>V2*W2</f>
        <v>110000</v>
      </c>
      <c r="Y2" s="16">
        <f>831/400</f>
        <v>2.0775</v>
      </c>
      <c r="Z2" s="3">
        <f>X2*Y2</f>
        <v>228525</v>
      </c>
    </row>
    <row r="3">
      <c r="A3" s="6" t="s">
        <v>10</v>
      </c>
      <c r="B3" s="17">
        <f>E6</f>
        <v>715000</v>
      </c>
      <c r="C3" s="6"/>
      <c r="D3" s="6" t="s">
        <v>31</v>
      </c>
      <c r="E3" s="10">
        <f>E2*4.5</f>
        <v>12.83091969</v>
      </c>
      <c r="F3" s="6"/>
      <c r="G3" s="6" t="s">
        <v>32</v>
      </c>
      <c r="H3" s="10">
        <v>1972.2988053606655</v>
      </c>
      <c r="I3" s="6" t="s">
        <v>33</v>
      </c>
      <c r="J3" s="6"/>
      <c r="K3" s="6"/>
      <c r="L3" s="18">
        <v>2384583.043179831</v>
      </c>
      <c r="M3" s="6" t="s">
        <v>34</v>
      </c>
      <c r="N3" s="6" t="s">
        <v>35</v>
      </c>
      <c r="O3" s="12">
        <v>2850890.9250000003</v>
      </c>
      <c r="P3" s="6"/>
      <c r="Q3" s="6"/>
      <c r="R3" s="6"/>
    </row>
    <row r="4">
      <c r="A4" s="6" t="s">
        <v>36</v>
      </c>
      <c r="B4" s="11">
        <v>9236957.374258613</v>
      </c>
      <c r="C4" s="6"/>
      <c r="D4" s="6"/>
      <c r="E4" s="10">
        <v>13.0</v>
      </c>
      <c r="F4" s="6" t="s">
        <v>37</v>
      </c>
      <c r="G4" s="6" t="s">
        <v>38</v>
      </c>
      <c r="H4" s="19">
        <v>429.58</v>
      </c>
      <c r="I4" s="6" t="s">
        <v>33</v>
      </c>
      <c r="J4" s="6"/>
      <c r="K4" s="6"/>
      <c r="L4" s="6"/>
      <c r="M4" s="6"/>
      <c r="N4" s="6" t="s">
        <v>39</v>
      </c>
      <c r="O4" s="20">
        <v>0.0</v>
      </c>
      <c r="P4" s="6"/>
      <c r="Q4" s="6"/>
      <c r="R4" s="6"/>
    </row>
    <row r="5">
      <c r="A5" s="6" t="s">
        <v>40</v>
      </c>
      <c r="B5" s="21">
        <f>L3</f>
        <v>2384583.043</v>
      </c>
      <c r="C5" s="6"/>
      <c r="D5" s="6" t="s">
        <v>41</v>
      </c>
      <c r="E5" s="22">
        <v>55000.0</v>
      </c>
      <c r="F5" s="6"/>
      <c r="G5" s="6"/>
      <c r="H5" s="23">
        <f>H4*24*333</f>
        <v>3433203.36</v>
      </c>
      <c r="I5" s="6" t="s">
        <v>42</v>
      </c>
      <c r="J5" s="6"/>
      <c r="K5" s="6"/>
      <c r="M5" s="6"/>
      <c r="N5" s="6" t="s">
        <v>43</v>
      </c>
      <c r="O5" s="3">
        <f>'Pumps SizingCosting'!P6</f>
        <v>142516.5</v>
      </c>
      <c r="P5" s="6"/>
      <c r="Q5" s="6"/>
      <c r="R5" s="6"/>
    </row>
    <row r="6">
      <c r="A6" s="6" t="s">
        <v>12</v>
      </c>
      <c r="B6" s="13">
        <f>H9</f>
        <v>12938740.66</v>
      </c>
      <c r="C6" s="6"/>
      <c r="D6" s="6" t="s">
        <v>10</v>
      </c>
      <c r="E6" s="10">
        <f>E4*E5</f>
        <v>715000</v>
      </c>
      <c r="F6" s="6"/>
      <c r="G6" s="6"/>
      <c r="H6" s="6"/>
      <c r="I6" s="6"/>
      <c r="J6" s="6"/>
      <c r="K6" s="6"/>
      <c r="L6" s="6"/>
      <c r="M6" s="6"/>
      <c r="N6" s="6" t="s">
        <v>44</v>
      </c>
      <c r="O6" s="12">
        <v>2104133.5500000003</v>
      </c>
      <c r="P6" s="6"/>
      <c r="Q6" s="6"/>
      <c r="R6" s="6"/>
    </row>
    <row r="7">
      <c r="A7" s="6"/>
      <c r="B7" s="6"/>
      <c r="C7" s="6"/>
      <c r="D7" s="6"/>
      <c r="E7" s="6"/>
      <c r="F7" s="6"/>
      <c r="G7" s="6" t="s">
        <v>45</v>
      </c>
      <c r="H7" s="10">
        <v>3.7687079091239784</v>
      </c>
      <c r="I7" s="6" t="s">
        <v>46</v>
      </c>
      <c r="J7" s="6"/>
      <c r="K7" s="6"/>
      <c r="L7" s="6"/>
      <c r="M7" s="6"/>
      <c r="N7" s="6" t="s">
        <v>47</v>
      </c>
      <c r="O7" s="20">
        <f>1600000+Z2</f>
        <v>1828525</v>
      </c>
      <c r="P7" s="24"/>
      <c r="Q7" s="25"/>
      <c r="R7" s="6"/>
    </row>
    <row r="8">
      <c r="A8" s="6"/>
      <c r="B8" s="6"/>
      <c r="C8" s="18">
        <f>SUM(B4,B5,B6)</f>
        <v>24560281.07</v>
      </c>
      <c r="D8" s="6"/>
      <c r="E8" s="6"/>
      <c r="F8" s="6"/>
      <c r="G8" s="6"/>
      <c r="H8" s="18"/>
      <c r="I8" s="6"/>
      <c r="J8" s="6"/>
      <c r="K8" s="6"/>
      <c r="L8" s="6"/>
      <c r="M8" s="6"/>
      <c r="N8" s="6" t="s">
        <v>48</v>
      </c>
      <c r="O8" s="12">
        <f>SUM(O1:O7)</f>
        <v>9437763.475</v>
      </c>
      <c r="P8" s="6"/>
      <c r="Q8" s="6"/>
      <c r="R8" s="6"/>
    </row>
    <row r="9">
      <c r="A9" s="6"/>
      <c r="B9" s="6"/>
      <c r="C9" s="6"/>
      <c r="D9" s="6"/>
      <c r="E9" s="6"/>
      <c r="F9" s="6"/>
      <c r="G9" s="6" t="s">
        <v>49</v>
      </c>
      <c r="H9" s="12">
        <f>H7*H5</f>
        <v>12938740.66</v>
      </c>
      <c r="I9" s="6"/>
      <c r="J9" s="6"/>
      <c r="K9" s="6"/>
      <c r="L9" s="6"/>
      <c r="M9" s="6"/>
      <c r="N9" s="6"/>
      <c r="O9" s="6"/>
      <c r="P9" s="6"/>
      <c r="Q9" s="6"/>
      <c r="R9" s="6"/>
    </row>
    <row r="10">
      <c r="A10" s="25" t="s">
        <v>50</v>
      </c>
      <c r="B10" s="18">
        <f>sum(B3:B6)</f>
        <v>25275281.07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>
      <c r="A12" s="6"/>
      <c r="B12" s="6"/>
      <c r="C12" s="6"/>
      <c r="D12" s="6"/>
      <c r="E12" s="6"/>
      <c r="F12" s="6"/>
      <c r="G12" s="6" t="s">
        <v>45</v>
      </c>
      <c r="H12" s="6">
        <f>3160/270</f>
        <v>11.7037037</v>
      </c>
      <c r="I12" s="25" t="s">
        <v>51</v>
      </c>
      <c r="J12" s="6"/>
      <c r="K12" s="6"/>
      <c r="L12" s="6"/>
      <c r="M12" s="6"/>
      <c r="N12" s="6"/>
      <c r="O12" s="6"/>
      <c r="P12" s="6"/>
      <c r="Q12" s="6"/>
      <c r="R12" s="6"/>
    </row>
    <row r="13">
      <c r="A13" s="6"/>
      <c r="B13" s="6"/>
      <c r="C13" s="6"/>
      <c r="D13" s="6"/>
      <c r="E13" s="6"/>
      <c r="F13" s="6"/>
      <c r="G13" s="6"/>
      <c r="H13" s="6">
        <f>H12/3.78541178</f>
        <v>3.091791431</v>
      </c>
      <c r="I13" s="25" t="s">
        <v>52</v>
      </c>
      <c r="J13" s="6"/>
      <c r="K13" s="6"/>
      <c r="L13" s="6"/>
      <c r="M13" s="6"/>
      <c r="N13" s="6"/>
      <c r="O13" s="6"/>
      <c r="P13" s="6"/>
      <c r="Q13" s="6"/>
      <c r="R13" s="6"/>
    </row>
    <row r="14">
      <c r="A14" s="6"/>
      <c r="B14" s="6"/>
      <c r="C14" s="6"/>
      <c r="D14" s="6"/>
      <c r="E14" s="6"/>
      <c r="F14" s="6"/>
      <c r="G14" s="6"/>
      <c r="H14" s="6">
        <f>H13/0.8203849981</f>
        <v>3.768707909</v>
      </c>
      <c r="I14" s="25" t="s">
        <v>46</v>
      </c>
      <c r="J14" s="6"/>
      <c r="K14" s="6"/>
      <c r="L14" s="6"/>
      <c r="M14" s="6"/>
      <c r="N14" s="6"/>
      <c r="O14" s="6"/>
      <c r="P14" s="6"/>
      <c r="Q14" s="6"/>
      <c r="R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6" t="s">
        <v>53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>
      <c r="A2" s="6" t="s">
        <v>0</v>
      </c>
      <c r="B2" s="6" t="s">
        <v>1</v>
      </c>
      <c r="C2" s="6" t="s">
        <v>54</v>
      </c>
      <c r="D2" s="6" t="s">
        <v>55</v>
      </c>
      <c r="E2" s="6" t="s">
        <v>56</v>
      </c>
      <c r="F2" s="6" t="s">
        <v>57</v>
      </c>
      <c r="G2" s="6" t="s">
        <v>58</v>
      </c>
      <c r="H2" s="6" t="s">
        <v>59</v>
      </c>
      <c r="I2" s="6" t="s">
        <v>60</v>
      </c>
      <c r="J2" s="6" t="s">
        <v>61</v>
      </c>
      <c r="K2" s="6" t="s">
        <v>62</v>
      </c>
      <c r="L2" s="6" t="s">
        <v>63</v>
      </c>
      <c r="M2" s="6" t="s">
        <v>64</v>
      </c>
      <c r="N2" s="6"/>
      <c r="O2" s="6"/>
      <c r="P2" s="6"/>
      <c r="Q2" s="6"/>
      <c r="R2" s="6"/>
      <c r="S2" s="6"/>
      <c r="T2" s="6"/>
    </row>
    <row r="3">
      <c r="A3" s="6" t="s">
        <v>65</v>
      </c>
      <c r="B3" s="6" t="s">
        <v>66</v>
      </c>
      <c r="C3" s="10">
        <v>60.0</v>
      </c>
      <c r="D3" s="10">
        <v>80.0</v>
      </c>
      <c r="E3" s="10">
        <v>100.0</v>
      </c>
      <c r="F3" s="10">
        <v>94.7</v>
      </c>
      <c r="G3" s="6" t="s">
        <v>67</v>
      </c>
      <c r="H3" s="27">
        <v>382090.073</v>
      </c>
      <c r="I3" s="10">
        <v>850.0</v>
      </c>
      <c r="J3" s="10">
        <f t="shared" ref="J3:J4" si="1">E3-D3</f>
        <v>20</v>
      </c>
      <c r="K3" s="10">
        <f t="shared" ref="K3:K4" si="2">F3-C3</f>
        <v>34.7</v>
      </c>
      <c r="L3" s="10">
        <f t="shared" ref="L3:L4" si="3">(J3-K3)/ln(J3/K3)</f>
        <v>26.67840694</v>
      </c>
      <c r="M3" s="10">
        <f t="shared" ref="M3:M4" si="4">H3/(I3*L3)</f>
        <v>16.84949682</v>
      </c>
      <c r="N3" s="6"/>
      <c r="O3" s="6"/>
      <c r="P3" s="6"/>
      <c r="Q3" s="6"/>
      <c r="R3" s="6"/>
      <c r="S3" s="6"/>
      <c r="T3" s="6"/>
    </row>
    <row r="4">
      <c r="A4" s="6" t="s">
        <v>68</v>
      </c>
      <c r="B4" s="6" t="s">
        <v>69</v>
      </c>
      <c r="C4" s="10">
        <v>102.507</v>
      </c>
      <c r="D4" s="10">
        <v>102.864</v>
      </c>
      <c r="E4" s="10">
        <v>127.588</v>
      </c>
      <c r="F4" s="10">
        <v>127.588</v>
      </c>
      <c r="G4" s="6" t="s">
        <v>70</v>
      </c>
      <c r="H4" s="27">
        <v>4.621113469332E7</v>
      </c>
      <c r="I4" s="10">
        <v>1140.0</v>
      </c>
      <c r="J4" s="10">
        <f t="shared" si="1"/>
        <v>24.724</v>
      </c>
      <c r="K4" s="10">
        <f t="shared" si="2"/>
        <v>25.081</v>
      </c>
      <c r="L4" s="10">
        <f t="shared" si="3"/>
        <v>24.9020735</v>
      </c>
      <c r="M4" s="10">
        <f t="shared" si="4"/>
        <v>1627.81959</v>
      </c>
      <c r="N4" s="6"/>
      <c r="O4" s="6"/>
      <c r="P4" s="6"/>
      <c r="Q4" s="6"/>
      <c r="R4" s="6"/>
      <c r="S4" s="6"/>
      <c r="T4" s="6"/>
    </row>
    <row r="5">
      <c r="A5" s="6"/>
      <c r="B5" s="6"/>
      <c r="C5" s="10"/>
      <c r="D5" s="10"/>
      <c r="E5" s="10"/>
      <c r="F5" s="10"/>
      <c r="G5" s="6"/>
      <c r="H5" s="10"/>
      <c r="I5" s="10"/>
      <c r="J5" s="10"/>
      <c r="K5" s="10"/>
      <c r="L5" s="10"/>
      <c r="M5" s="10"/>
      <c r="N5" s="6"/>
      <c r="O5" s="6"/>
      <c r="P5" s="6"/>
      <c r="Q5" s="6"/>
      <c r="R5" s="6"/>
      <c r="S5" s="6"/>
      <c r="T5" s="6"/>
    </row>
    <row r="6">
      <c r="A6" s="6" t="s">
        <v>71</v>
      </c>
      <c r="B6" s="6" t="s">
        <v>72</v>
      </c>
      <c r="C6" s="10">
        <v>25.0</v>
      </c>
      <c r="D6" s="10">
        <v>35.0</v>
      </c>
      <c r="E6" s="10">
        <v>79.9715</v>
      </c>
      <c r="F6" s="10">
        <v>79.5911</v>
      </c>
      <c r="G6" s="6" t="s">
        <v>73</v>
      </c>
      <c r="H6" s="27">
        <v>4.418814369024E7</v>
      </c>
      <c r="I6" s="10">
        <v>60.0</v>
      </c>
      <c r="J6" s="10">
        <f>E6-D6</f>
        <v>44.9715</v>
      </c>
      <c r="K6" s="10">
        <f>F6-C6</f>
        <v>54.5911</v>
      </c>
      <c r="L6" s="10">
        <f>(J6-K6)/ln(J6/K6)</f>
        <v>49.62600709</v>
      </c>
      <c r="M6" s="10">
        <f>H6/(I6*L6)</f>
        <v>14840.38521</v>
      </c>
      <c r="N6" s="6"/>
      <c r="O6" s="6" t="s">
        <v>74</v>
      </c>
      <c r="P6" s="28">
        <v>110000.0</v>
      </c>
      <c r="Q6" s="10">
        <v>3.0</v>
      </c>
      <c r="R6" s="21">
        <f>P6*Q6</f>
        <v>330000</v>
      </c>
      <c r="S6" s="10">
        <f>831/400</f>
        <v>2.0775</v>
      </c>
      <c r="T6" s="21">
        <f>R6*S6</f>
        <v>685575</v>
      </c>
    </row>
    <row r="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>
      <c r="A8" s="26" t="s">
        <v>75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>
      <c r="A9" s="6" t="s">
        <v>0</v>
      </c>
      <c r="B9" s="6" t="s">
        <v>1</v>
      </c>
      <c r="C9" s="6" t="s">
        <v>76</v>
      </c>
      <c r="D9" s="6" t="s">
        <v>77</v>
      </c>
      <c r="E9" s="6" t="s">
        <v>78</v>
      </c>
      <c r="F9" s="6" t="s">
        <v>79</v>
      </c>
      <c r="G9" s="6" t="s">
        <v>80</v>
      </c>
      <c r="H9" s="6" t="s">
        <v>81</v>
      </c>
      <c r="I9" s="6" t="s">
        <v>82</v>
      </c>
      <c r="J9" s="6" t="s">
        <v>83</v>
      </c>
      <c r="K9" s="6" t="s">
        <v>84</v>
      </c>
      <c r="L9" s="6" t="s">
        <v>85</v>
      </c>
      <c r="M9" s="6" t="s">
        <v>86</v>
      </c>
      <c r="N9" s="6" t="s">
        <v>87</v>
      </c>
      <c r="O9" s="6"/>
      <c r="P9" s="6"/>
      <c r="Q9" s="6"/>
      <c r="R9" s="6"/>
      <c r="S9" s="6"/>
      <c r="T9" s="6"/>
    </row>
    <row r="10">
      <c r="A10" s="6" t="s">
        <v>68</v>
      </c>
      <c r="B10" s="6" t="s">
        <v>69</v>
      </c>
      <c r="C10" s="6" t="s">
        <v>70</v>
      </c>
      <c r="D10" s="10">
        <f>H4</f>
        <v>46211134.69</v>
      </c>
      <c r="E10" s="10">
        <v>2180650.0</v>
      </c>
      <c r="F10" s="6" t="s">
        <v>88</v>
      </c>
      <c r="G10" s="10">
        <f t="shared" ref="G10:H10" si="5">E4</f>
        <v>127.588</v>
      </c>
      <c r="H10" s="10">
        <f t="shared" si="5"/>
        <v>127.588</v>
      </c>
      <c r="I10" s="10">
        <f>H10-G10</f>
        <v>0</v>
      </c>
      <c r="J10" s="10">
        <f>D10/E10</f>
        <v>21.19144966</v>
      </c>
      <c r="K10" s="10">
        <f>J10*3600</f>
        <v>76289.21876</v>
      </c>
      <c r="L10" s="10">
        <f>(K10/1000)*24*333</f>
        <v>609703.4364</v>
      </c>
      <c r="M10" s="6" t="s">
        <v>88</v>
      </c>
      <c r="N10" s="10">
        <f>L10*15</f>
        <v>9145551.545</v>
      </c>
      <c r="O10" s="6"/>
      <c r="P10" s="6"/>
      <c r="Q10" s="6"/>
      <c r="R10" s="6"/>
      <c r="S10" s="6"/>
      <c r="T10" s="6"/>
    </row>
    <row r="11">
      <c r="A11" s="6"/>
      <c r="B11" s="29"/>
      <c r="C11" s="29"/>
      <c r="D11" s="30"/>
      <c r="E11" s="29"/>
      <c r="F11" s="30"/>
      <c r="G11" s="30"/>
      <c r="H11" s="30"/>
      <c r="I11" s="30"/>
      <c r="J11" s="30"/>
      <c r="K11" s="30"/>
      <c r="L11" s="29"/>
      <c r="M11" s="30"/>
      <c r="N11" s="30"/>
      <c r="O11" s="31"/>
      <c r="P11" s="29"/>
      <c r="Q11" s="29"/>
      <c r="R11" s="29"/>
      <c r="S11" s="29"/>
      <c r="T11" s="29"/>
      <c r="U11" s="32"/>
      <c r="V11" s="32"/>
      <c r="W11" s="32"/>
      <c r="X11" s="32"/>
      <c r="Y11" s="32"/>
      <c r="Z11" s="32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>
      <c r="A13" s="6"/>
      <c r="B13" s="6"/>
      <c r="C13" s="6" t="s">
        <v>89</v>
      </c>
      <c r="D13" s="6" t="s">
        <v>90</v>
      </c>
      <c r="E13" s="6" t="s">
        <v>91</v>
      </c>
      <c r="F13" s="6" t="s">
        <v>87</v>
      </c>
      <c r="G13" s="18"/>
      <c r="H13" s="6"/>
      <c r="I13" s="6"/>
      <c r="J13" s="6"/>
      <c r="K13" s="6"/>
      <c r="L13" s="6"/>
      <c r="M13" s="26" t="s">
        <v>92</v>
      </c>
      <c r="N13" s="21">
        <f>N10</f>
        <v>9145551.545</v>
      </c>
      <c r="O13" s="6"/>
      <c r="P13" s="6"/>
      <c r="Q13" s="6"/>
      <c r="R13" s="6"/>
      <c r="S13" s="6"/>
      <c r="T13" s="6"/>
    </row>
    <row r="14">
      <c r="A14" s="6"/>
      <c r="B14" s="6"/>
      <c r="C14" s="6"/>
      <c r="D14" s="10"/>
      <c r="E14" s="10"/>
      <c r="F14" s="21"/>
      <c r="G14" s="18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>
      <c r="A15" s="6"/>
      <c r="B15" s="6"/>
      <c r="C15" s="6"/>
      <c r="D15" s="10"/>
      <c r="E15" s="10"/>
      <c r="F15" s="21"/>
      <c r="G15" s="18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>
      <c r="A16" s="6"/>
      <c r="B16" s="6" t="s">
        <v>93</v>
      </c>
      <c r="C16" s="6" t="s">
        <v>94</v>
      </c>
      <c r="D16" s="33">
        <v>37.9</v>
      </c>
      <c r="E16" s="10">
        <f t="shared" ref="E16:E19" si="6">D16*333*24</f>
        <v>302896.8</v>
      </c>
      <c r="F16" s="21">
        <f t="shared" ref="F16:F19" si="7">E16*0.7</f>
        <v>212027.76</v>
      </c>
      <c r="G16" s="25" t="s">
        <v>95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>
      <c r="A17" s="6" t="s">
        <v>96</v>
      </c>
      <c r="B17" s="6" t="s">
        <v>97</v>
      </c>
      <c r="C17" s="6" t="s">
        <v>94</v>
      </c>
      <c r="D17" s="10">
        <v>0.1131977616247989</v>
      </c>
      <c r="E17" s="10">
        <f t="shared" si="6"/>
        <v>904.6765109</v>
      </c>
      <c r="F17" s="21">
        <f t="shared" si="7"/>
        <v>633.2735576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>
      <c r="A18" s="6" t="s">
        <v>98</v>
      </c>
      <c r="B18" s="6" t="s">
        <v>99</v>
      </c>
      <c r="C18" s="6" t="s">
        <v>94</v>
      </c>
      <c r="D18" s="10">
        <v>0.4144727452709838</v>
      </c>
      <c r="E18" s="10">
        <f t="shared" si="6"/>
        <v>3312.46618</v>
      </c>
      <c r="F18" s="21">
        <f t="shared" si="7"/>
        <v>2318.726326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>
      <c r="A19" s="6" t="s">
        <v>100</v>
      </c>
      <c r="B19" s="6"/>
      <c r="C19" s="6" t="s">
        <v>101</v>
      </c>
      <c r="D19" s="10">
        <v>0.11113775266759668</v>
      </c>
      <c r="E19" s="10">
        <f t="shared" si="6"/>
        <v>888.2129193</v>
      </c>
      <c r="F19" s="21">
        <f t="shared" si="7"/>
        <v>621.7490435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>
      <c r="A20" s="6"/>
      <c r="B20" s="6"/>
      <c r="C20" s="6"/>
      <c r="D20" s="6"/>
      <c r="E20" s="25" t="s">
        <v>102</v>
      </c>
      <c r="F20" s="18">
        <f>sum(F16:F19)</f>
        <v>215601.5089</v>
      </c>
      <c r="G20" s="6"/>
      <c r="H20" s="6"/>
      <c r="I20" s="6"/>
      <c r="J20" s="6"/>
      <c r="K20" s="6"/>
      <c r="L20" s="6"/>
      <c r="M20" s="34" t="s">
        <v>103</v>
      </c>
      <c r="N20" s="18">
        <f>sum(N13,F20)</f>
        <v>9361153.054</v>
      </c>
      <c r="O20" s="6"/>
      <c r="P20" s="6"/>
      <c r="Q20" s="6"/>
      <c r="R20" s="6"/>
      <c r="S20" s="6"/>
      <c r="T20" s="6"/>
    </row>
    <row r="2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0</v>
      </c>
      <c r="B1" s="6" t="s">
        <v>1</v>
      </c>
      <c r="C1" s="6" t="s">
        <v>104</v>
      </c>
      <c r="D1" s="6" t="s">
        <v>105</v>
      </c>
      <c r="E1" s="6" t="s">
        <v>106</v>
      </c>
      <c r="F1" s="6" t="s">
        <v>107</v>
      </c>
      <c r="G1" s="6" t="s">
        <v>108</v>
      </c>
      <c r="H1" s="6" t="s">
        <v>109</v>
      </c>
      <c r="I1" s="6" t="s">
        <v>18</v>
      </c>
      <c r="J1" s="6" t="s">
        <v>110</v>
      </c>
      <c r="K1" s="6" t="s">
        <v>111</v>
      </c>
      <c r="L1" s="6" t="s">
        <v>19</v>
      </c>
      <c r="M1" s="6" t="s">
        <v>20</v>
      </c>
      <c r="N1" s="6" t="s">
        <v>21</v>
      </c>
      <c r="O1" s="6" t="s">
        <v>112</v>
      </c>
      <c r="P1" s="6" t="s">
        <v>113</v>
      </c>
    </row>
    <row r="2">
      <c r="A2" s="6" t="s">
        <v>96</v>
      </c>
      <c r="B2" s="6" t="s">
        <v>97</v>
      </c>
      <c r="C2" s="10">
        <f>86297.3*2</f>
        <v>172594.6</v>
      </c>
      <c r="D2" s="10">
        <v>752.758641479989</v>
      </c>
      <c r="E2" s="10">
        <v>0.01333</v>
      </c>
      <c r="F2" s="10">
        <v>1333.0</v>
      </c>
      <c r="G2" s="10">
        <v>0.75</v>
      </c>
      <c r="H2" s="10">
        <f t="shared" ref="H2:H4" si="1">((C2*F2*(1/3600))/(D2*G2))/1000</f>
        <v>0.1131977616</v>
      </c>
      <c r="I2" s="35">
        <v>2000.0</v>
      </c>
      <c r="J2" s="10">
        <v>1.9</v>
      </c>
      <c r="K2" s="10">
        <v>1.0</v>
      </c>
      <c r="L2" s="10">
        <v>4.9</v>
      </c>
      <c r="M2" s="28">
        <f t="shared" ref="M2:M4" si="2">I2*L2</f>
        <v>9800</v>
      </c>
      <c r="N2" s="10">
        <f t="shared" ref="N2:N4" si="3">831/400</f>
        <v>2.0775</v>
      </c>
      <c r="O2" s="21">
        <f t="shared" ref="O2:O4" si="4">M2*N2</f>
        <v>20359.5</v>
      </c>
      <c r="P2" s="21">
        <f t="shared" ref="P2:P4" si="5">O2*2</f>
        <v>40719</v>
      </c>
      <c r="Q2" s="6" t="s">
        <v>114</v>
      </c>
    </row>
    <row r="3">
      <c r="A3" s="29" t="s">
        <v>100</v>
      </c>
      <c r="B3" s="6"/>
      <c r="C3" s="10">
        <v>25852.6026026026</v>
      </c>
      <c r="D3" s="10">
        <v>980.574106180922</v>
      </c>
      <c r="E3" s="10">
        <f>0.2-0.08618447</f>
        <v>0.11381553</v>
      </c>
      <c r="F3" s="10">
        <v>11381.553</v>
      </c>
      <c r="G3" s="10">
        <v>0.75</v>
      </c>
      <c r="H3" s="10">
        <f t="shared" si="1"/>
        <v>0.1111377527</v>
      </c>
      <c r="I3" s="35">
        <v>2000.0</v>
      </c>
      <c r="J3" s="10">
        <v>1.9</v>
      </c>
      <c r="K3" s="10">
        <v>1.0</v>
      </c>
      <c r="L3" s="10">
        <v>4.9</v>
      </c>
      <c r="M3" s="28">
        <f t="shared" si="2"/>
        <v>9800</v>
      </c>
      <c r="N3" s="10">
        <f t="shared" si="3"/>
        <v>2.0775</v>
      </c>
      <c r="O3" s="21">
        <f t="shared" si="4"/>
        <v>20359.5</v>
      </c>
      <c r="P3" s="21">
        <f t="shared" si="5"/>
        <v>40719</v>
      </c>
    </row>
    <row r="4">
      <c r="A4" s="6" t="s">
        <v>98</v>
      </c>
      <c r="B4" s="6" t="s">
        <v>99</v>
      </c>
      <c r="C4" s="10">
        <v>110237.86311596949</v>
      </c>
      <c r="D4" s="10">
        <v>854.556</v>
      </c>
      <c r="E4" s="6"/>
      <c r="F4" s="10">
        <v>8675.0</v>
      </c>
      <c r="G4" s="10">
        <v>0.75</v>
      </c>
      <c r="H4" s="10">
        <f t="shared" si="1"/>
        <v>0.4144727453</v>
      </c>
      <c r="I4" s="35">
        <v>3000.0</v>
      </c>
      <c r="J4" s="10">
        <v>1.9</v>
      </c>
      <c r="K4" s="10">
        <v>1.0</v>
      </c>
      <c r="L4" s="10">
        <v>4.9</v>
      </c>
      <c r="M4" s="28">
        <f t="shared" si="2"/>
        <v>14700</v>
      </c>
      <c r="N4" s="10">
        <f t="shared" si="3"/>
        <v>2.0775</v>
      </c>
      <c r="O4" s="21">
        <f t="shared" si="4"/>
        <v>30539.25</v>
      </c>
      <c r="P4" s="21">
        <f t="shared" si="5"/>
        <v>61078.5</v>
      </c>
    </row>
    <row r="6">
      <c r="O6" s="1" t="s">
        <v>48</v>
      </c>
      <c r="P6" s="3">
        <f>sum(P2:P4)</f>
        <v>142516.5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38"/>
    <col customWidth="1" min="2" max="2" width="30.88"/>
    <col customWidth="1" min="3" max="3" width="18.25"/>
    <col customWidth="1" min="4" max="4" width="16.0"/>
    <col customWidth="1" min="5" max="5" width="13.5"/>
    <col customWidth="1" min="7" max="7" width="12.88"/>
    <col customWidth="1" min="10" max="10" width="15.88"/>
  </cols>
  <sheetData>
    <row r="1">
      <c r="A1" s="1" t="s">
        <v>0</v>
      </c>
      <c r="B1" s="1" t="s">
        <v>1</v>
      </c>
      <c r="C1" s="1" t="s">
        <v>84</v>
      </c>
      <c r="D1" s="1" t="s">
        <v>115</v>
      </c>
      <c r="E1" s="1" t="s">
        <v>105</v>
      </c>
      <c r="F1" s="1" t="s">
        <v>116</v>
      </c>
      <c r="G1" s="1" t="s">
        <v>117</v>
      </c>
      <c r="H1" s="1" t="s">
        <v>118</v>
      </c>
      <c r="I1" s="1" t="s">
        <v>119</v>
      </c>
      <c r="J1" s="1" t="s">
        <v>120</v>
      </c>
      <c r="K1" s="1" t="s">
        <v>121</v>
      </c>
      <c r="L1" s="1" t="s">
        <v>18</v>
      </c>
      <c r="M1" s="1" t="s">
        <v>110</v>
      </c>
      <c r="N1" s="1" t="s">
        <v>111</v>
      </c>
      <c r="O1" s="1" t="s">
        <v>19</v>
      </c>
      <c r="P1" s="1" t="s">
        <v>20</v>
      </c>
      <c r="Q1" s="1" t="s">
        <v>21</v>
      </c>
      <c r="R1" s="1" t="s">
        <v>122</v>
      </c>
    </row>
    <row r="2">
      <c r="A2" s="1" t="s">
        <v>123</v>
      </c>
      <c r="B2" s="1" t="s">
        <v>124</v>
      </c>
      <c r="C2" s="1">
        <v>172594.6</v>
      </c>
      <c r="D2" s="16">
        <f>5/60</f>
        <v>0.08333333333</v>
      </c>
      <c r="E2" s="1">
        <v>752.758641479989</v>
      </c>
      <c r="F2" s="1">
        <v>0.5</v>
      </c>
      <c r="G2" s="16">
        <f>(C2*D2)/(E2*F2)</f>
        <v>38.213798</v>
      </c>
      <c r="H2" s="16">
        <f>((4*G2)/3)^(1/3)</f>
        <v>3.707259443</v>
      </c>
      <c r="I2" s="16">
        <f>H2*3</f>
        <v>11.12177833</v>
      </c>
      <c r="J2" s="1">
        <v>4.0</v>
      </c>
      <c r="K2" s="1">
        <v>11.25</v>
      </c>
      <c r="L2" s="14">
        <v>41000.0</v>
      </c>
      <c r="M2" s="1">
        <v>1.0</v>
      </c>
      <c r="N2" s="1">
        <v>1.0</v>
      </c>
      <c r="O2" s="1">
        <v>3.1</v>
      </c>
      <c r="P2" s="15">
        <f>L2*O2</f>
        <v>127100</v>
      </c>
      <c r="Q2" s="16">
        <f>831/400</f>
        <v>2.0775</v>
      </c>
      <c r="R2" s="3">
        <f>P2*Q2</f>
        <v>264050.25</v>
      </c>
    </row>
    <row r="4">
      <c r="A4" s="6" t="s">
        <v>125</v>
      </c>
      <c r="B4" s="6" t="s">
        <v>126</v>
      </c>
      <c r="C4" s="6" t="s">
        <v>127</v>
      </c>
      <c r="D4" s="6" t="s">
        <v>128</v>
      </c>
      <c r="E4" s="6" t="s">
        <v>129</v>
      </c>
      <c r="F4" s="36" t="s">
        <v>130</v>
      </c>
      <c r="G4" s="6"/>
      <c r="H4" s="6" t="s">
        <v>18</v>
      </c>
      <c r="I4" s="6" t="s">
        <v>110</v>
      </c>
      <c r="J4" s="6" t="s">
        <v>111</v>
      </c>
      <c r="K4" s="6" t="s">
        <v>19</v>
      </c>
      <c r="L4" s="6" t="s">
        <v>131</v>
      </c>
      <c r="M4" s="6" t="s">
        <v>132</v>
      </c>
      <c r="N4" s="6" t="s">
        <v>48</v>
      </c>
      <c r="O4" s="6"/>
    </row>
    <row r="5">
      <c r="A5" s="6" t="s">
        <v>133</v>
      </c>
      <c r="B5" s="37">
        <f>85912.6+25852</f>
        <v>111764.6</v>
      </c>
      <c r="C5" s="37">
        <f t="shared" ref="C5:C13" si="1">B5/0.8</f>
        <v>139705.75</v>
      </c>
      <c r="D5" s="10">
        <f t="shared" ref="D5:D13" si="2">C5/1000</f>
        <v>139.70575</v>
      </c>
      <c r="E5" s="6"/>
      <c r="F5" s="38" t="s">
        <v>134</v>
      </c>
      <c r="G5" s="6"/>
      <c r="H5" s="35">
        <v>200000.0</v>
      </c>
      <c r="I5" s="10">
        <v>1.0</v>
      </c>
      <c r="J5" s="10">
        <v>1.2</v>
      </c>
      <c r="K5" s="10">
        <v>5.0</v>
      </c>
      <c r="L5" s="28">
        <f t="shared" ref="L5:L12" si="3">K5*H5</f>
        <v>1000000</v>
      </c>
      <c r="M5" s="10">
        <f t="shared" ref="M5:M13" si="4">831/400</f>
        <v>2.0775</v>
      </c>
      <c r="N5" s="39">
        <f t="shared" ref="N5:N13" si="5">L5*M5</f>
        <v>2077500</v>
      </c>
      <c r="O5" s="36" t="s">
        <v>135</v>
      </c>
    </row>
    <row r="6">
      <c r="A6" s="6" t="s">
        <v>136</v>
      </c>
      <c r="B6" s="33" t="s">
        <v>137</v>
      </c>
      <c r="C6" s="37" t="str">
        <f t="shared" si="1"/>
        <v>#VALUE!</v>
      </c>
      <c r="D6" s="10" t="str">
        <f t="shared" si="2"/>
        <v>#VALUE!</v>
      </c>
      <c r="E6" s="36" t="s">
        <v>138</v>
      </c>
      <c r="F6" s="6"/>
      <c r="G6" s="6"/>
      <c r="H6" s="10">
        <f>8300</f>
        <v>8300</v>
      </c>
      <c r="I6" s="6"/>
      <c r="J6" s="6"/>
      <c r="K6" s="10">
        <v>1.9</v>
      </c>
      <c r="L6" s="10">
        <f t="shared" si="3"/>
        <v>15770</v>
      </c>
      <c r="M6" s="10">
        <f t="shared" si="4"/>
        <v>2.0775</v>
      </c>
      <c r="N6" s="3">
        <f t="shared" si="5"/>
        <v>32762.175</v>
      </c>
      <c r="O6" s="36" t="s">
        <v>139</v>
      </c>
    </row>
    <row r="7">
      <c r="A7" s="6" t="s">
        <v>140</v>
      </c>
      <c r="B7" s="33">
        <v>25852.0</v>
      </c>
      <c r="C7" s="37">
        <f t="shared" si="1"/>
        <v>32315</v>
      </c>
      <c r="D7" s="10">
        <f t="shared" si="2"/>
        <v>32.315</v>
      </c>
      <c r="E7" s="36" t="s">
        <v>141</v>
      </c>
      <c r="F7" s="6"/>
      <c r="G7" s="6"/>
      <c r="H7" s="10">
        <f>8000</f>
        <v>8000</v>
      </c>
      <c r="I7" s="6"/>
      <c r="J7" s="6"/>
      <c r="K7" s="10">
        <v>1.9</v>
      </c>
      <c r="L7" s="10">
        <f t="shared" si="3"/>
        <v>15200</v>
      </c>
      <c r="M7" s="10">
        <f t="shared" si="4"/>
        <v>2.0775</v>
      </c>
      <c r="N7" s="39">
        <f t="shared" si="5"/>
        <v>31578</v>
      </c>
      <c r="O7" s="36" t="s">
        <v>139</v>
      </c>
    </row>
    <row r="8">
      <c r="A8" s="6" t="s">
        <v>142</v>
      </c>
      <c r="B8" s="33">
        <v>429.0</v>
      </c>
      <c r="C8" s="37">
        <f t="shared" si="1"/>
        <v>536.25</v>
      </c>
      <c r="D8" s="10">
        <f t="shared" si="2"/>
        <v>0.53625</v>
      </c>
      <c r="E8" s="10">
        <f>D8*333</f>
        <v>178.57125</v>
      </c>
      <c r="F8" s="6" t="s">
        <v>143</v>
      </c>
      <c r="G8" s="6"/>
      <c r="H8" s="35">
        <v>50000.0</v>
      </c>
      <c r="I8" s="6"/>
      <c r="J8" s="6"/>
      <c r="K8" s="10">
        <v>1.9</v>
      </c>
      <c r="L8" s="28">
        <f t="shared" si="3"/>
        <v>95000</v>
      </c>
      <c r="M8" s="10">
        <f t="shared" si="4"/>
        <v>2.0775</v>
      </c>
      <c r="N8" s="39">
        <f t="shared" si="5"/>
        <v>197362.5</v>
      </c>
      <c r="O8" s="36" t="s">
        <v>144</v>
      </c>
    </row>
    <row r="9">
      <c r="A9" s="6" t="s">
        <v>145</v>
      </c>
      <c r="B9" s="37">
        <f>15319.19+27645.1</f>
        <v>42964.29</v>
      </c>
      <c r="C9" s="37">
        <f t="shared" si="1"/>
        <v>53705.3625</v>
      </c>
      <c r="D9" s="10">
        <f t="shared" si="2"/>
        <v>53.7053625</v>
      </c>
      <c r="E9" s="36" t="s">
        <v>146</v>
      </c>
      <c r="F9" s="6"/>
      <c r="G9" s="6"/>
      <c r="H9" s="10">
        <v>34000.0</v>
      </c>
      <c r="I9" s="6"/>
      <c r="J9" s="6"/>
      <c r="K9" s="10">
        <v>1.9</v>
      </c>
      <c r="L9" s="10">
        <f t="shared" si="3"/>
        <v>64600</v>
      </c>
      <c r="M9" s="10">
        <f t="shared" si="4"/>
        <v>2.0775</v>
      </c>
      <c r="N9" s="39">
        <f t="shared" si="5"/>
        <v>134206.5</v>
      </c>
      <c r="O9" s="6"/>
    </row>
    <row r="10">
      <c r="A10" s="6" t="s">
        <v>147</v>
      </c>
      <c r="B10" s="33">
        <v>23940.0</v>
      </c>
      <c r="C10" s="37">
        <f t="shared" si="1"/>
        <v>29925</v>
      </c>
      <c r="D10" s="10">
        <f t="shared" si="2"/>
        <v>29.925</v>
      </c>
      <c r="E10" s="36" t="s">
        <v>148</v>
      </c>
      <c r="F10" s="6"/>
      <c r="G10" s="6"/>
      <c r="H10" s="10">
        <v>7000.0</v>
      </c>
      <c r="I10" s="6"/>
      <c r="J10" s="6"/>
      <c r="K10" s="10">
        <v>1.9</v>
      </c>
      <c r="L10" s="10">
        <f t="shared" si="3"/>
        <v>13300</v>
      </c>
      <c r="M10" s="10">
        <f t="shared" si="4"/>
        <v>2.0775</v>
      </c>
      <c r="N10" s="39">
        <f t="shared" si="5"/>
        <v>27630.75</v>
      </c>
      <c r="O10" s="36" t="s">
        <v>139</v>
      </c>
    </row>
    <row r="11">
      <c r="A11" s="6" t="s">
        <v>149</v>
      </c>
      <c r="B11" s="37">
        <f>653</f>
        <v>653</v>
      </c>
      <c r="C11" s="37">
        <f t="shared" si="1"/>
        <v>816.25</v>
      </c>
      <c r="D11" s="10">
        <f t="shared" si="2"/>
        <v>0.81625</v>
      </c>
      <c r="E11" s="36" t="s">
        <v>150</v>
      </c>
      <c r="F11" s="6"/>
      <c r="G11" s="6"/>
      <c r="H11" s="10">
        <v>5000.0</v>
      </c>
      <c r="I11" s="6"/>
      <c r="J11" s="6"/>
      <c r="K11" s="10">
        <v>1.9</v>
      </c>
      <c r="L11" s="10">
        <f t="shared" si="3"/>
        <v>9500</v>
      </c>
      <c r="M11" s="10">
        <f t="shared" si="4"/>
        <v>2.0775</v>
      </c>
      <c r="N11" s="39">
        <f t="shared" si="5"/>
        <v>19736.25</v>
      </c>
      <c r="O11" s="36" t="s">
        <v>139</v>
      </c>
    </row>
    <row r="12">
      <c r="A12" s="6" t="s">
        <v>151</v>
      </c>
      <c r="B12" s="37">
        <f>105557+4680</f>
        <v>110237</v>
      </c>
      <c r="C12" s="37">
        <f t="shared" si="1"/>
        <v>137796.25</v>
      </c>
      <c r="D12" s="10">
        <f t="shared" si="2"/>
        <v>137.79625</v>
      </c>
      <c r="E12" s="36" t="s">
        <v>152</v>
      </c>
      <c r="F12" s="6"/>
      <c r="G12" s="6"/>
      <c r="H12" s="10">
        <f>20000</f>
        <v>20000</v>
      </c>
      <c r="I12" s="6"/>
      <c r="J12" s="6"/>
      <c r="K12" s="10">
        <v>1.9</v>
      </c>
      <c r="L12" s="10">
        <f t="shared" si="3"/>
        <v>38000</v>
      </c>
      <c r="M12" s="10">
        <f t="shared" si="4"/>
        <v>2.0775</v>
      </c>
      <c r="N12" s="39">
        <f t="shared" si="5"/>
        <v>78945</v>
      </c>
      <c r="O12" s="6"/>
    </row>
    <row r="13">
      <c r="A13" s="6" t="s">
        <v>123</v>
      </c>
      <c r="B13" s="33">
        <v>172594.0</v>
      </c>
      <c r="C13" s="37">
        <f t="shared" si="1"/>
        <v>215742.5</v>
      </c>
      <c r="D13" s="10">
        <f t="shared" si="2"/>
        <v>215.7425</v>
      </c>
      <c r="E13" s="36" t="s">
        <v>153</v>
      </c>
      <c r="F13" s="6"/>
      <c r="G13" s="6"/>
      <c r="H13" s="10">
        <v>39000.0</v>
      </c>
      <c r="I13" s="10">
        <v>1.0</v>
      </c>
      <c r="J13" s="10">
        <v>1.0</v>
      </c>
      <c r="K13" s="10">
        <v>3.1</v>
      </c>
      <c r="L13" s="10">
        <f>H13*K13</f>
        <v>120900</v>
      </c>
      <c r="M13" s="10">
        <f t="shared" si="4"/>
        <v>2.0775</v>
      </c>
      <c r="N13" s="39">
        <f t="shared" si="5"/>
        <v>251169.75</v>
      </c>
      <c r="O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8" t="s">
        <v>154</v>
      </c>
      <c r="N14" s="40">
        <f>SUM(N5:N13)</f>
        <v>2850890.925</v>
      </c>
      <c r="O14" s="36" t="s">
        <v>155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7.75"/>
  </cols>
  <sheetData>
    <row r="1">
      <c r="A1" s="6" t="s">
        <v>0</v>
      </c>
      <c r="B1" s="6" t="s">
        <v>1</v>
      </c>
      <c r="C1" s="6" t="s">
        <v>54</v>
      </c>
      <c r="D1" s="6" t="s">
        <v>55</v>
      </c>
      <c r="E1" s="6" t="s">
        <v>56</v>
      </c>
      <c r="F1" s="6" t="s">
        <v>57</v>
      </c>
      <c r="G1" s="6" t="s">
        <v>58</v>
      </c>
      <c r="H1" s="6" t="s">
        <v>59</v>
      </c>
      <c r="I1" s="6" t="s">
        <v>60</v>
      </c>
      <c r="J1" s="6" t="s">
        <v>61</v>
      </c>
      <c r="K1" s="6" t="s">
        <v>62</v>
      </c>
      <c r="L1" s="6" t="s">
        <v>63</v>
      </c>
      <c r="M1" s="6" t="s">
        <v>64</v>
      </c>
      <c r="N1" s="1" t="s">
        <v>18</v>
      </c>
      <c r="O1" s="1" t="s">
        <v>110</v>
      </c>
      <c r="P1" s="1" t="s">
        <v>111</v>
      </c>
      <c r="Q1" s="1" t="s">
        <v>19</v>
      </c>
      <c r="R1" s="1" t="s">
        <v>20</v>
      </c>
      <c r="S1" s="1" t="s">
        <v>21</v>
      </c>
      <c r="T1" s="1" t="s">
        <v>122</v>
      </c>
    </row>
    <row r="2">
      <c r="A2" s="1" t="s">
        <v>156</v>
      </c>
      <c r="B2" s="1" t="s">
        <v>72</v>
      </c>
      <c r="C2" s="10">
        <v>25.0</v>
      </c>
      <c r="D2" s="10">
        <v>35.0</v>
      </c>
      <c r="E2" s="1">
        <v>79.6427</v>
      </c>
      <c r="F2" s="1">
        <v>79.5911</v>
      </c>
      <c r="G2" s="1" t="s">
        <v>73</v>
      </c>
      <c r="H2" s="1">
        <v>4.418841415752E7</v>
      </c>
      <c r="I2" s="1">
        <v>60.0</v>
      </c>
      <c r="J2" s="16">
        <f t="shared" ref="J2:J3" si="1">E2-D2</f>
        <v>44.6427</v>
      </c>
      <c r="K2" s="16">
        <f t="shared" ref="K2:K3" si="2">F2-C2</f>
        <v>54.5911</v>
      </c>
      <c r="L2" s="16">
        <f t="shared" ref="L2:L3" si="3">(J2-K2)/(ln(J2/K2))</f>
        <v>49.45022742</v>
      </c>
      <c r="M2" s="16">
        <f t="shared" ref="M2:M3" si="4">H2/(I2*L2)</f>
        <v>14893.22917</v>
      </c>
      <c r="N2" s="2">
        <v>190000.0</v>
      </c>
      <c r="O2" s="1">
        <v>1.0</v>
      </c>
      <c r="P2" s="1">
        <v>1.0</v>
      </c>
      <c r="Q2" s="1">
        <v>3.1</v>
      </c>
      <c r="R2" s="3">
        <f t="shared" ref="R2:R4" si="5">N2*Q2</f>
        <v>589000</v>
      </c>
      <c r="S2" s="16">
        <f t="shared" ref="S2:S4" si="6">831/400</f>
        <v>2.0775</v>
      </c>
      <c r="T2" s="3">
        <f t="shared" ref="T2:T4" si="7">R2*S2</f>
        <v>1223647.5</v>
      </c>
    </row>
    <row r="3">
      <c r="A3" s="1" t="s">
        <v>68</v>
      </c>
      <c r="B3" s="1" t="s">
        <v>69</v>
      </c>
      <c r="C3" s="1">
        <v>100.013</v>
      </c>
      <c r="D3" s="1">
        <v>100.018</v>
      </c>
      <c r="E3" s="10">
        <v>127.588</v>
      </c>
      <c r="F3" s="10">
        <v>127.588</v>
      </c>
      <c r="G3" s="1" t="s">
        <v>70</v>
      </c>
      <c r="H3" s="1">
        <v>4.621141102212E7</v>
      </c>
      <c r="I3" s="1">
        <v>1140.0</v>
      </c>
      <c r="J3" s="16">
        <f t="shared" si="1"/>
        <v>27.57</v>
      </c>
      <c r="K3" s="16">
        <f t="shared" si="2"/>
        <v>27.575</v>
      </c>
      <c r="L3" s="16">
        <f t="shared" si="3"/>
        <v>27.57249992</v>
      </c>
      <c r="M3" s="16">
        <f t="shared" si="4"/>
        <v>1470.172294</v>
      </c>
      <c r="N3" s="2">
        <v>200000.0</v>
      </c>
      <c r="O3" s="1">
        <v>1.0</v>
      </c>
      <c r="P3" s="1">
        <v>1.0</v>
      </c>
      <c r="Q3" s="1">
        <v>3.1</v>
      </c>
      <c r="R3" s="3">
        <f t="shared" si="5"/>
        <v>620000</v>
      </c>
      <c r="S3" s="16">
        <f t="shared" si="6"/>
        <v>2.0775</v>
      </c>
      <c r="T3" s="3">
        <f t="shared" si="7"/>
        <v>1288050</v>
      </c>
    </row>
    <row r="4">
      <c r="N4" s="14">
        <v>4500.0</v>
      </c>
      <c r="Q4" s="1">
        <v>3.1</v>
      </c>
      <c r="R4" s="3">
        <f t="shared" si="5"/>
        <v>13950</v>
      </c>
      <c r="S4" s="16">
        <f t="shared" si="6"/>
        <v>2.0775</v>
      </c>
      <c r="T4" s="3">
        <f t="shared" si="7"/>
        <v>28981.125</v>
      </c>
    </row>
    <row r="5">
      <c r="S5" s="1" t="s">
        <v>48</v>
      </c>
      <c r="T5" s="3">
        <f>sum(T2:T3)</f>
        <v>2511697.5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5.13"/>
  </cols>
  <sheetData>
    <row r="1">
      <c r="A1" s="3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6"/>
      <c r="B2" s="6" t="s">
        <v>157</v>
      </c>
      <c r="C2" s="6" t="s">
        <v>118</v>
      </c>
      <c r="D2" s="6" t="s">
        <v>158</v>
      </c>
      <c r="E2" s="6" t="s">
        <v>159</v>
      </c>
      <c r="F2" s="6" t="s">
        <v>160</v>
      </c>
      <c r="G2" s="6" t="s">
        <v>161</v>
      </c>
      <c r="H2" s="6" t="s">
        <v>162</v>
      </c>
      <c r="I2" s="6" t="s">
        <v>163</v>
      </c>
      <c r="J2" s="6" t="s">
        <v>18</v>
      </c>
      <c r="K2" s="6" t="s">
        <v>111</v>
      </c>
      <c r="L2" s="6" t="s">
        <v>110</v>
      </c>
      <c r="M2" s="6" t="s">
        <v>19</v>
      </c>
      <c r="N2" s="6" t="s">
        <v>20</v>
      </c>
      <c r="O2" s="6" t="s">
        <v>21</v>
      </c>
      <c r="P2" s="6" t="s">
        <v>164</v>
      </c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6"/>
      <c r="B3" s="6" t="s">
        <v>165</v>
      </c>
      <c r="C3" s="27">
        <v>5.0</v>
      </c>
      <c r="D3" s="10">
        <v>9.0</v>
      </c>
      <c r="E3" s="10">
        <v>0.5</v>
      </c>
      <c r="F3" s="10">
        <f>(D3-2)/E3</f>
        <v>14</v>
      </c>
      <c r="G3" s="10">
        <v>0.6096</v>
      </c>
      <c r="H3" s="10">
        <v>6.096</v>
      </c>
      <c r="I3" s="10">
        <f>H3+(D3*G3)</f>
        <v>11.5824</v>
      </c>
      <c r="J3" s="35">
        <v>100000.0</v>
      </c>
      <c r="K3" s="10">
        <v>1.2</v>
      </c>
      <c r="L3" s="10">
        <v>1.0</v>
      </c>
      <c r="M3" s="10">
        <v>5.0</v>
      </c>
      <c r="N3" s="28">
        <f>J3*M3</f>
        <v>500000</v>
      </c>
      <c r="O3" s="10">
        <f>831/400</f>
        <v>2.0775</v>
      </c>
      <c r="P3" s="21">
        <f>N3*O3</f>
        <v>1038750</v>
      </c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36" t="s">
        <v>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6"/>
      <c r="B6" s="6" t="s">
        <v>166</v>
      </c>
      <c r="C6" s="6" t="s">
        <v>118</v>
      </c>
      <c r="D6" s="6" t="s">
        <v>167</v>
      </c>
      <c r="E6" s="6" t="s">
        <v>168</v>
      </c>
      <c r="F6" s="6" t="s">
        <v>19</v>
      </c>
      <c r="G6" s="6" t="s">
        <v>169</v>
      </c>
      <c r="H6" s="6" t="s">
        <v>20</v>
      </c>
      <c r="I6" s="6" t="s">
        <v>21</v>
      </c>
      <c r="J6" s="6" t="s">
        <v>164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6"/>
      <c r="B7" s="6" t="s">
        <v>170</v>
      </c>
      <c r="C7" s="27">
        <v>5.0</v>
      </c>
      <c r="D7" s="10">
        <f>F3</f>
        <v>14</v>
      </c>
      <c r="E7" s="35">
        <v>15000.0</v>
      </c>
      <c r="F7" s="10">
        <v>2.2</v>
      </c>
      <c r="G7" s="10">
        <v>1.11</v>
      </c>
      <c r="H7" s="28">
        <f>E7*F7*G7*D7</f>
        <v>512820</v>
      </c>
      <c r="I7" s="10">
        <f>831/400</f>
        <v>2.0775</v>
      </c>
      <c r="J7" s="21">
        <f>H7*I7</f>
        <v>1065383.55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9">
      <c r="I9" s="1" t="s">
        <v>171</v>
      </c>
      <c r="J9" s="3">
        <f>J7+P3</f>
        <v>2104133.55</v>
      </c>
    </row>
  </sheetData>
  <drawing r:id="rId1"/>
</worksheet>
</file>